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IC\2026\captiva\Financials\Aug Financials\"/>
    </mc:Choice>
  </mc:AlternateContent>
  <xr:revisionPtr revIDLastSave="0" documentId="13_ncr:1_{7C7CE6F3-2668-4023-9E6A-3A3FBC003D6F}" xr6:coauthVersionLast="47" xr6:coauthVersionMax="47" xr10:uidLastSave="{00000000-0000-0000-0000-000000000000}"/>
  <bookViews>
    <workbookView xWindow="-19310" yWindow="-1140" windowWidth="19420" windowHeight="10300" xr2:uid="{00000000-000D-0000-FFFF-FFFF00000000}"/>
  </bookViews>
  <sheets>
    <sheet name="Balance Sheet Consolidated" sheetId="1" r:id="rId1"/>
    <sheet name="AR Capital" sheetId="2" r:id="rId2"/>
    <sheet name="P&amp;L Capital" sheetId="8" r:id="rId3"/>
    <sheet name="P&amp;L General Fund" sheetId="6" r:id="rId4"/>
    <sheet name="Budget vs Actual Capital" sheetId="9" r:id="rId5"/>
    <sheet name="Budget Vs Actual General" sheetId="7" r:id="rId6"/>
  </sheets>
  <definedNames>
    <definedName name="_xlnm.Print_Area" localSheetId="0">'Balance Sheet Consolidated'!$A$1:$F$83</definedName>
    <definedName name="_xlnm.Print_Area" localSheetId="4">'Budget vs Actual Capital'!$A$1:$E$103</definedName>
    <definedName name="_xlnm.Print_Titles" localSheetId="0">'Balance Sheet Consolidated'!$1:$5</definedName>
    <definedName name="_xlnm.Print_Titles" localSheetId="4">'Budget vs Actual Capital'!$1:$5</definedName>
    <definedName name="_xlnm.Print_Titles" localSheetId="5">'Budget Vs Actual General'!$1:$5</definedName>
    <definedName name="_xlnm.Print_Titles" localSheetId="2">'P&amp;L Capital'!$1:$6</definedName>
    <definedName name="_xlnm.Print_Titles" localSheetId="3">'P&amp;L General Fund'!$1:$5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5" i="7" l="1"/>
  <c r="F14" i="2"/>
  <c r="E14" i="2"/>
  <c r="D14" i="2"/>
  <c r="C14" i="2"/>
  <c r="B14" i="2"/>
  <c r="G14" i="2" s="1"/>
  <c r="G13" i="2"/>
  <c r="F11" i="2"/>
  <c r="E11" i="2"/>
  <c r="D11" i="2"/>
  <c r="C11" i="2"/>
  <c r="B11" i="2"/>
  <c r="G11" i="2" s="1"/>
  <c r="G10" i="2"/>
  <c r="F8" i="2"/>
  <c r="F15" i="2" s="1"/>
  <c r="E8" i="2"/>
  <c r="E15" i="2" s="1"/>
  <c r="D8" i="2"/>
  <c r="D15" i="2" s="1"/>
  <c r="C8" i="2"/>
  <c r="C15" i="2" s="1"/>
  <c r="B8" i="2"/>
  <c r="B15" i="2" s="1"/>
  <c r="G7" i="2"/>
  <c r="E95" i="9"/>
  <c r="E91" i="9"/>
  <c r="E90" i="9"/>
  <c r="E89" i="9"/>
  <c r="E81" i="9"/>
  <c r="E80" i="9"/>
  <c r="E79" i="9"/>
  <c r="E78" i="9"/>
  <c r="E77" i="9"/>
  <c r="E76" i="9"/>
  <c r="E75" i="9"/>
  <c r="E74" i="9"/>
  <c r="E73" i="9"/>
  <c r="E72" i="9"/>
  <c r="E69" i="9"/>
  <c r="E68" i="9"/>
  <c r="E67" i="9"/>
  <c r="E66" i="9"/>
  <c r="E65" i="9"/>
  <c r="E64" i="9"/>
  <c r="E63" i="9"/>
  <c r="E62" i="9"/>
  <c r="E61" i="9"/>
  <c r="E60" i="9"/>
  <c r="E59" i="9"/>
  <c r="E56" i="9"/>
  <c r="E55" i="9"/>
  <c r="E53" i="9"/>
  <c r="E52" i="9"/>
  <c r="E51" i="9"/>
  <c r="E50" i="9"/>
  <c r="E49" i="9"/>
  <c r="E48" i="9"/>
  <c r="E47" i="9"/>
  <c r="E46" i="9"/>
  <c r="E43" i="9"/>
  <c r="E42" i="9"/>
  <c r="E41" i="9"/>
  <c r="E39" i="9"/>
  <c r="E38" i="9"/>
  <c r="E37" i="9"/>
  <c r="E36" i="9"/>
  <c r="C95" i="9"/>
  <c r="C91" i="9"/>
  <c r="C89" i="9"/>
  <c r="C73" i="9"/>
  <c r="C74" i="9"/>
  <c r="C75" i="9"/>
  <c r="C76" i="9"/>
  <c r="C77" i="9"/>
  <c r="C72" i="9"/>
  <c r="C67" i="9"/>
  <c r="C66" i="9"/>
  <c r="C65" i="9"/>
  <c r="C64" i="9"/>
  <c r="C63" i="9"/>
  <c r="C62" i="9"/>
  <c r="C61" i="9"/>
  <c r="C60" i="9"/>
  <c r="C59" i="9"/>
  <c r="C56" i="9"/>
  <c r="C55" i="9"/>
  <c r="C53" i="9"/>
  <c r="C52" i="9"/>
  <c r="C51" i="9"/>
  <c r="C50" i="9"/>
  <c r="C49" i="9"/>
  <c r="C48" i="9"/>
  <c r="C47" i="9"/>
  <c r="C46" i="9"/>
  <c r="C43" i="9"/>
  <c r="C42" i="9"/>
  <c r="C39" i="9"/>
  <c r="C38" i="9"/>
  <c r="C37" i="9"/>
  <c r="C36" i="9"/>
  <c r="C33" i="9"/>
  <c r="D85" i="9"/>
  <c r="D34" i="9"/>
  <c r="E33" i="9"/>
  <c r="E34" i="9" s="1"/>
  <c r="E30" i="9"/>
  <c r="E29" i="9"/>
  <c r="E28" i="9"/>
  <c r="E27" i="9"/>
  <c r="E26" i="9"/>
  <c r="E25" i="9"/>
  <c r="C30" i="9"/>
  <c r="C29" i="9"/>
  <c r="C28" i="9"/>
  <c r="C27" i="9"/>
  <c r="C26" i="9"/>
  <c r="C25" i="9"/>
  <c r="E18" i="9"/>
  <c r="E15" i="9"/>
  <c r="E14" i="9"/>
  <c r="E13" i="9"/>
  <c r="E11" i="9"/>
  <c r="E10" i="9"/>
  <c r="E8" i="9"/>
  <c r="C18" i="9"/>
  <c r="C15" i="9"/>
  <c r="C14" i="9"/>
  <c r="C13" i="9"/>
  <c r="C12" i="9"/>
  <c r="C11" i="9"/>
  <c r="C10" i="9"/>
  <c r="C8" i="9"/>
  <c r="C34" i="9"/>
  <c r="D68" i="8"/>
  <c r="D77" i="8" s="1"/>
  <c r="C77" i="8"/>
  <c r="C15" i="8"/>
  <c r="D5" i="6"/>
  <c r="C5" i="6"/>
  <c r="E82" i="7"/>
  <c r="E81" i="7"/>
  <c r="E78" i="7"/>
  <c r="E72" i="7"/>
  <c r="E70" i="7"/>
  <c r="E69" i="7"/>
  <c r="E68" i="7"/>
  <c r="E67" i="7"/>
  <c r="E66" i="7"/>
  <c r="E63" i="7"/>
  <c r="E62" i="7"/>
  <c r="E59" i="7"/>
  <c r="E56" i="7"/>
  <c r="E55" i="7"/>
  <c r="E54" i="7"/>
  <c r="E53" i="7"/>
  <c r="E50" i="7"/>
  <c r="E49" i="7"/>
  <c r="E48" i="7"/>
  <c r="E47" i="7"/>
  <c r="E46" i="7"/>
  <c r="E45" i="7"/>
  <c r="E44" i="7"/>
  <c r="E51" i="7" s="1"/>
  <c r="E43" i="7"/>
  <c r="E42" i="7"/>
  <c r="E41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3" i="7"/>
  <c r="E12" i="7"/>
  <c r="E10" i="7"/>
  <c r="E8" i="7"/>
  <c r="C78" i="7"/>
  <c r="C68" i="7"/>
  <c r="C67" i="7"/>
  <c r="C66" i="7"/>
  <c r="C63" i="7"/>
  <c r="C62" i="7"/>
  <c r="C59" i="7"/>
  <c r="C56" i="7"/>
  <c r="C55" i="7"/>
  <c r="C54" i="7"/>
  <c r="C53" i="7"/>
  <c r="D51" i="7"/>
  <c r="C51" i="7"/>
  <c r="C50" i="7"/>
  <c r="C49" i="7"/>
  <c r="C48" i="7"/>
  <c r="C47" i="7"/>
  <c r="C46" i="7"/>
  <c r="C45" i="7"/>
  <c r="C44" i="7"/>
  <c r="C43" i="7"/>
  <c r="C42" i="7"/>
  <c r="C41" i="7"/>
  <c r="C38" i="7"/>
  <c r="C36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3" i="7"/>
  <c r="C12" i="7"/>
  <c r="C10" i="7"/>
  <c r="C8" i="7"/>
  <c r="D46" i="6"/>
  <c r="C46" i="6"/>
  <c r="H22" i="1"/>
  <c r="G15" i="2" l="1"/>
  <c r="G8" i="2"/>
  <c r="C9" i="9"/>
  <c r="D9" i="9"/>
  <c r="E9" i="9"/>
  <c r="C16" i="9"/>
  <c r="D16" i="9"/>
  <c r="E16" i="9"/>
  <c r="C19" i="9"/>
  <c r="D19" i="9"/>
  <c r="D20" i="9" s="1"/>
  <c r="D22" i="9" s="1"/>
  <c r="E19" i="9"/>
  <c r="C31" i="9"/>
  <c r="D31" i="9"/>
  <c r="E31" i="9"/>
  <c r="C40" i="9"/>
  <c r="D40" i="9"/>
  <c r="E40" i="9"/>
  <c r="C44" i="9"/>
  <c r="D44" i="9"/>
  <c r="E44" i="9"/>
  <c r="C54" i="9"/>
  <c r="C57" i="9" s="1"/>
  <c r="D54" i="9"/>
  <c r="E54" i="9"/>
  <c r="E57" i="9" s="1"/>
  <c r="D57" i="9"/>
  <c r="C70" i="9"/>
  <c r="D70" i="9"/>
  <c r="E70" i="9"/>
  <c r="C82" i="9"/>
  <c r="C84" i="9" s="1"/>
  <c r="D82" i="9"/>
  <c r="D84" i="9" s="1"/>
  <c r="E82" i="9"/>
  <c r="E84" i="9"/>
  <c r="C90" i="9"/>
  <c r="C92" i="9" s="1"/>
  <c r="D90" i="9"/>
  <c r="D92" i="9" s="1"/>
  <c r="E92" i="9"/>
  <c r="C96" i="9"/>
  <c r="D96" i="9"/>
  <c r="D97" i="9" s="1"/>
  <c r="E96" i="9"/>
  <c r="E97" i="9" s="1"/>
  <c r="C97" i="9"/>
  <c r="C10" i="8"/>
  <c r="D10" i="8"/>
  <c r="D21" i="8" s="1"/>
  <c r="D22" i="8" s="1"/>
  <c r="C17" i="8"/>
  <c r="D17" i="8"/>
  <c r="C20" i="8"/>
  <c r="D20" i="8"/>
  <c r="C31" i="8"/>
  <c r="D31" i="8"/>
  <c r="C40" i="8"/>
  <c r="D40" i="8"/>
  <c r="C44" i="8"/>
  <c r="D44" i="8"/>
  <c r="C54" i="8"/>
  <c r="C57" i="8" s="1"/>
  <c r="D54" i="8"/>
  <c r="D57" i="8" s="1"/>
  <c r="C68" i="8"/>
  <c r="C76" i="8"/>
  <c r="D76" i="8"/>
  <c r="C82" i="8"/>
  <c r="D82" i="8"/>
  <c r="D84" i="8" s="1"/>
  <c r="C84" i="8"/>
  <c r="C88" i="8"/>
  <c r="C89" i="8" s="1"/>
  <c r="D88" i="8"/>
  <c r="D89" i="8" s="1"/>
  <c r="C9" i="7"/>
  <c r="D9" i="7"/>
  <c r="D15" i="7" s="1"/>
  <c r="D17" i="7" s="1"/>
  <c r="E9" i="7"/>
  <c r="C14" i="7"/>
  <c r="D14" i="7"/>
  <c r="E14" i="7"/>
  <c r="E15" i="7" s="1"/>
  <c r="E17" i="7" s="1"/>
  <c r="C39" i="7"/>
  <c r="D38" i="7"/>
  <c r="D39" i="7" s="1"/>
  <c r="E38" i="7"/>
  <c r="E39" i="7" s="1"/>
  <c r="C57" i="7"/>
  <c r="D57" i="7"/>
  <c r="E57" i="7"/>
  <c r="C60" i="7"/>
  <c r="D60" i="7"/>
  <c r="E60" i="7"/>
  <c r="C64" i="7"/>
  <c r="D64" i="7"/>
  <c r="E64" i="7"/>
  <c r="C71" i="7"/>
  <c r="D71" i="7"/>
  <c r="E71" i="7"/>
  <c r="C79" i="7"/>
  <c r="C84" i="7" s="1"/>
  <c r="C85" i="7" s="1"/>
  <c r="D79" i="7"/>
  <c r="E79" i="7"/>
  <c r="C83" i="7"/>
  <c r="D83" i="7"/>
  <c r="D84" i="7" s="1"/>
  <c r="D85" i="7" s="1"/>
  <c r="E83" i="7"/>
  <c r="D70" i="6"/>
  <c r="D71" i="6" s="1"/>
  <c r="D72" i="6" s="1"/>
  <c r="C70" i="6"/>
  <c r="C71" i="6" s="1"/>
  <c r="C72" i="6" s="1"/>
  <c r="D64" i="6"/>
  <c r="C64" i="6"/>
  <c r="D59" i="6"/>
  <c r="C59" i="6"/>
  <c r="D55" i="6"/>
  <c r="C55" i="6"/>
  <c r="D52" i="6"/>
  <c r="C52" i="6"/>
  <c r="D34" i="6"/>
  <c r="C34" i="6"/>
  <c r="D14" i="6"/>
  <c r="C14" i="6"/>
  <c r="D9" i="6"/>
  <c r="C9" i="6"/>
  <c r="D66" i="1"/>
  <c r="F59" i="1"/>
  <c r="B70" i="1"/>
  <c r="B47" i="1"/>
  <c r="D47" i="1"/>
  <c r="F79" i="1"/>
  <c r="F78" i="1"/>
  <c r="F77" i="1"/>
  <c r="F76" i="1"/>
  <c r="D72" i="1"/>
  <c r="D73" i="1" s="1"/>
  <c r="B72" i="1"/>
  <c r="B73" i="1" s="1"/>
  <c r="F71" i="1"/>
  <c r="F70" i="1"/>
  <c r="F69" i="1"/>
  <c r="B66" i="1"/>
  <c r="F65" i="1"/>
  <c r="F64" i="1"/>
  <c r="F63" i="1"/>
  <c r="F62" i="1"/>
  <c r="F61" i="1"/>
  <c r="F60" i="1"/>
  <c r="F58" i="1"/>
  <c r="F57" i="1"/>
  <c r="F56" i="1"/>
  <c r="D54" i="1"/>
  <c r="B54" i="1"/>
  <c r="F53" i="1"/>
  <c r="F46" i="1"/>
  <c r="D43" i="1"/>
  <c r="B43" i="1"/>
  <c r="F42" i="1"/>
  <c r="F41" i="1"/>
  <c r="F40" i="1"/>
  <c r="D38" i="1"/>
  <c r="B38" i="1"/>
  <c r="F37" i="1"/>
  <c r="F36" i="1"/>
  <c r="F35" i="1"/>
  <c r="D28" i="1"/>
  <c r="D29" i="1" s="1"/>
  <c r="B28" i="1"/>
  <c r="B29" i="1" s="1"/>
  <c r="F27" i="1"/>
  <c r="F26" i="1"/>
  <c r="F28" i="1" s="1"/>
  <c r="F24" i="1"/>
  <c r="F23" i="1"/>
  <c r="F22" i="1"/>
  <c r="H57" i="1" s="1"/>
  <c r="D20" i="1"/>
  <c r="B20" i="1"/>
  <c r="F19" i="1"/>
  <c r="D15" i="1"/>
  <c r="D17" i="1" s="1"/>
  <c r="B15" i="1"/>
  <c r="B17" i="1" s="1"/>
  <c r="F14" i="1"/>
  <c r="F13" i="1"/>
  <c r="F12" i="1"/>
  <c r="F11" i="1"/>
  <c r="F10" i="1"/>
  <c r="F9" i="1"/>
  <c r="E85" i="9" l="1"/>
  <c r="C85" i="9"/>
  <c r="C98" i="9"/>
  <c r="E84" i="7"/>
  <c r="C15" i="7"/>
  <c r="C17" i="7" s="1"/>
  <c r="F66" i="1"/>
  <c r="E98" i="9"/>
  <c r="E20" i="9"/>
  <c r="E22" i="9" s="1"/>
  <c r="C20" i="9"/>
  <c r="C22" i="9" s="1"/>
  <c r="D86" i="9"/>
  <c r="D98" i="9"/>
  <c r="D15" i="6"/>
  <c r="D16" i="6" s="1"/>
  <c r="C21" i="8"/>
  <c r="C22" i="8" s="1"/>
  <c r="C65" i="6"/>
  <c r="D65" i="6"/>
  <c r="C15" i="6"/>
  <c r="C16" i="6" s="1"/>
  <c r="C73" i="7"/>
  <c r="E73" i="7"/>
  <c r="E74" i="7" s="1"/>
  <c r="D73" i="7"/>
  <c r="D74" i="7" s="1"/>
  <c r="D86" i="7" s="1"/>
  <c r="H19" i="1"/>
  <c r="D90" i="8"/>
  <c r="C90" i="8"/>
  <c r="D78" i="8"/>
  <c r="D91" i="8" s="1"/>
  <c r="B44" i="1"/>
  <c r="F72" i="1"/>
  <c r="D30" i="1"/>
  <c r="B67" i="1"/>
  <c r="B74" i="1" s="1"/>
  <c r="D44" i="1"/>
  <c r="F29" i="1"/>
  <c r="F73" i="1"/>
  <c r="F20" i="1"/>
  <c r="F43" i="1"/>
  <c r="F47" i="1"/>
  <c r="F54" i="1"/>
  <c r="D67" i="1"/>
  <c r="D74" i="1" s="1"/>
  <c r="F38" i="1"/>
  <c r="F44" i="1"/>
  <c r="B30" i="1"/>
  <c r="B48" i="1" s="1"/>
  <c r="F15" i="1"/>
  <c r="F17" i="1"/>
  <c r="E86" i="9" l="1"/>
  <c r="E99" i="9" s="1"/>
  <c r="C78" i="8"/>
  <c r="C91" i="8" s="1"/>
  <c r="E86" i="7"/>
  <c r="C74" i="7"/>
  <c r="C86" i="7" s="1"/>
  <c r="D66" i="6"/>
  <c r="D73" i="6" s="1"/>
  <c r="D80" i="1" s="1"/>
  <c r="D81" i="1" s="1"/>
  <c r="D82" i="1" s="1"/>
  <c r="C66" i="6"/>
  <c r="C73" i="6" s="1"/>
  <c r="C86" i="9"/>
  <c r="C99" i="9" s="1"/>
  <c r="B86" i="1" s="1"/>
  <c r="B80" i="1"/>
  <c r="B85" i="1" s="1"/>
  <c r="D99" i="9"/>
  <c r="D48" i="1"/>
  <c r="F48" i="1" s="1"/>
  <c r="F74" i="1"/>
  <c r="F67" i="1"/>
  <c r="F30" i="1"/>
  <c r="B81" i="1" l="1"/>
  <c r="B82" i="1" s="1"/>
  <c r="B84" i="1" s="1"/>
  <c r="D86" i="1"/>
  <c r="D85" i="1"/>
  <c r="F80" i="1"/>
  <c r="D84" i="1"/>
  <c r="F82" i="1" l="1"/>
  <c r="F84" i="1" s="1"/>
  <c r="F81" i="1"/>
</calcChain>
</file>

<file path=xl/sharedStrings.xml><?xml version="1.0" encoding="utf-8"?>
<sst xmlns="http://schemas.openxmlformats.org/spreadsheetml/2006/main" count="456" uniqueCount="253">
  <si>
    <t>Balance Sheet - Fiscal PY Accrual</t>
  </si>
  <si>
    <t>Distribution account</t>
  </si>
  <si>
    <t>Capital</t>
  </si>
  <si>
    <t>General</t>
  </si>
  <si>
    <t>Combined</t>
  </si>
  <si>
    <t>Assets</t>
  </si>
  <si>
    <t>Current Assets</t>
  </si>
  <si>
    <t>Bank Accounts</t>
  </si>
  <si>
    <t>1100 Regions Investment</t>
  </si>
  <si>
    <t>Total for 1100 Regions Investment</t>
  </si>
  <si>
    <t>Total for Bank Accounts and Investments</t>
  </si>
  <si>
    <t>Accounts Receivable</t>
  </si>
  <si>
    <t>Total for Accounts Receivable</t>
  </si>
  <si>
    <t>Other Current Assets</t>
  </si>
  <si>
    <t>1400 Deposit</t>
  </si>
  <si>
    <t>1500 Due from Other Governments</t>
  </si>
  <si>
    <t>Total for Other Current Assets</t>
  </si>
  <si>
    <t>Total for Current Assets</t>
  </si>
  <si>
    <t>Fixed Assets</t>
  </si>
  <si>
    <t>Total for Fixed Assets</t>
  </si>
  <si>
    <t>Other Assets</t>
  </si>
  <si>
    <t>131.000 Due from Capital Projects Fund</t>
  </si>
  <si>
    <t>Total for Other Assets</t>
  </si>
  <si>
    <t>Total for Assets</t>
  </si>
  <si>
    <t>Liabilities and Equity</t>
  </si>
  <si>
    <t>Liabilities</t>
  </si>
  <si>
    <t>Current Liabilities</t>
  </si>
  <si>
    <t>Accounts Payable</t>
  </si>
  <si>
    <t>Total for Accounts Payable</t>
  </si>
  <si>
    <t>Other Current Liabilities</t>
  </si>
  <si>
    <t>2200 Due To (From) Capital Projects</t>
  </si>
  <si>
    <t>2250 SA Deferred Revenue</t>
  </si>
  <si>
    <t>2300 Accrued Payroll</t>
  </si>
  <si>
    <t>2301 Accrued Liabilities</t>
  </si>
  <si>
    <t>233.100 Deferred Revenue - state</t>
  </si>
  <si>
    <t>Total for Other Current Liabilities</t>
  </si>
  <si>
    <t>Total for Current Liabilities</t>
  </si>
  <si>
    <t>Long-term Liabilities</t>
  </si>
  <si>
    <t>Total for Renourishment Loans</t>
  </si>
  <si>
    <t>Total for Long-term Liabilities</t>
  </si>
  <si>
    <t>Total for Liabilities</t>
  </si>
  <si>
    <t>Equity</t>
  </si>
  <si>
    <t>3000. Fund Balance</t>
  </si>
  <si>
    <t>Change in Net Position (Net Income/ (Deficit)</t>
  </si>
  <si>
    <t>Total for Equity</t>
  </si>
  <si>
    <t>Total for Liabilities and Equity</t>
  </si>
  <si>
    <t>Check</t>
  </si>
  <si>
    <t>TOTAL</t>
  </si>
  <si>
    <t>LGFR / FDEP</t>
  </si>
  <si>
    <t>Total for Lee County Finance Department</t>
  </si>
  <si>
    <t>ILA - Lee County BoCC - 2025 Nourishment Project</t>
  </si>
  <si>
    <t>Lee County Finance Department</t>
  </si>
  <si>
    <t>Total</t>
  </si>
  <si>
    <t>91 AND OVER</t>
  </si>
  <si>
    <t>61 - 90</t>
  </si>
  <si>
    <t>31 - 60</t>
  </si>
  <si>
    <t>1 - 30</t>
  </si>
  <si>
    <t>CURRENT</t>
  </si>
  <si>
    <t/>
  </si>
  <si>
    <t>A/R Aging Summary Report</t>
  </si>
  <si>
    <t>CEPD - Capital</t>
  </si>
  <si>
    <t>1005 Regions Bank Checking *3400</t>
  </si>
  <si>
    <t>1150 Accounts Receivable</t>
  </si>
  <si>
    <t>1200  Special Assessments Receivable</t>
  </si>
  <si>
    <t>Total for 1200   Special Assessments Receivable</t>
  </si>
  <si>
    <t>1600 Capital Assets</t>
  </si>
  <si>
    <t>1605 Construction in Progress, Not Being Depreciated 2025 Renourishment</t>
  </si>
  <si>
    <t>1610 Capital Assets Being Depreciated</t>
  </si>
  <si>
    <t>Total for 1610 Capital Assets Being Depreciated</t>
  </si>
  <si>
    <t>1675 Less Accumulated Depreciation/Amoritization</t>
  </si>
  <si>
    <t>Total for 1675 Less Accumulated Depreciation</t>
  </si>
  <si>
    <t>2055 Due to General Fund</t>
  </si>
  <si>
    <t>2150 Accrued Interest Payable</t>
  </si>
  <si>
    <t>2210 Deferred Grant Revenue</t>
  </si>
  <si>
    <t>2505 Lease Liability</t>
  </si>
  <si>
    <t>2805 Synovus 2021 Renourishment Loan</t>
  </si>
  <si>
    <t>2810 Regions 2025 Renourishment Loan</t>
  </si>
  <si>
    <t>3005 Net Investment in Capital Assets</t>
  </si>
  <si>
    <t>3010 Restricted for Captial Projects</t>
  </si>
  <si>
    <t>3015 Restricted for Debt Service/ Loan Payments</t>
  </si>
  <si>
    <t>1005 Fifth Third Checking 4036</t>
  </si>
  <si>
    <t>1305 Due From Capital Fund</t>
  </si>
  <si>
    <t>2005 American Express</t>
  </si>
  <si>
    <t xml:space="preserve">     1105 Cash Equivalents</t>
  </si>
  <si>
    <t xml:space="preserve">     1110 US Treasury</t>
  </si>
  <si>
    <t xml:space="preserve">     1115 Accrued Investment Income</t>
  </si>
  <si>
    <t xml:space="preserve">      1210 Special Assessment 2021 Receivable</t>
  </si>
  <si>
    <t xml:space="preserve">      1290 Allowance for Uncollectible Special Assessment</t>
  </si>
  <si>
    <t xml:space="preserve">     1615 Right to Use Leased Building</t>
  </si>
  <si>
    <t xml:space="preserve">     1620 Infrastructure  2021 Renourishment/ Parking</t>
  </si>
  <si>
    <t xml:space="preserve">     1625 Equipment</t>
  </si>
  <si>
    <t xml:space="preserve">     1680 Accum Depr Right to use Leased Building</t>
  </si>
  <si>
    <t xml:space="preserve">     1685 Accum Depr Insfrastructure  2021 Renourishment/ Parking Lot</t>
  </si>
  <si>
    <t xml:space="preserve">     1690 Accum Depr Equipment</t>
  </si>
  <si>
    <t xml:space="preserve">      2000 *Accounts Payable</t>
  </si>
  <si>
    <t>Total for Other Expenses</t>
  </si>
  <si>
    <t>Total for 6000 TRANSFERS OUT / OTHER FINANCING USES</t>
  </si>
  <si>
    <t>6005 Transfer to Capital Fund</t>
  </si>
  <si>
    <t>6000 TRANSFERS OUT / OTHER FINANCING USES</t>
  </si>
  <si>
    <t>Other Expenses</t>
  </si>
  <si>
    <t>Total for Expenses</t>
  </si>
  <si>
    <t>Total for 5300 PROFESSIONAL FEES</t>
  </si>
  <si>
    <t>5315 Legal Fees - General</t>
  </si>
  <si>
    <t>5310 Auditing</t>
  </si>
  <si>
    <t>5305 Accounting</t>
  </si>
  <si>
    <t>5300 PROFESSIONAL FEES</t>
  </si>
  <si>
    <t>Total for 5200 COST OF COLLECTING AD VALOREM</t>
  </si>
  <si>
    <t>5210 Tax Collector Fees</t>
  </si>
  <si>
    <t>5205 Property Appraiser Fees</t>
  </si>
  <si>
    <t>5200 COST OF COLLECTING AD VALOREM</t>
  </si>
  <si>
    <t>Total for 5125 ADMINISTRATIVE SUPPORT / CONTRACT LABOR</t>
  </si>
  <si>
    <t>5130 Contract Administrative Support</t>
  </si>
  <si>
    <t>5125 ADMINISTRATIVE SUPPORT / CONTRACT LABOR</t>
  </si>
  <si>
    <t>Total for 5100 PAYROLL EXPENSES</t>
  </si>
  <si>
    <t>5120 Employee Reimbursements /  Non-Taxable Reimb</t>
  </si>
  <si>
    <t>5115 Payroll Service Fees</t>
  </si>
  <si>
    <t>5110 Payroll Taxes</t>
  </si>
  <si>
    <t>5105 Gross Wages</t>
  </si>
  <si>
    <t>5100 PAYROLL EXPENSES</t>
  </si>
  <si>
    <t>Total for 5090 SOFTWARE &amp; CLOUD SUBSCRIPTIONS</t>
  </si>
  <si>
    <t>5090.10 Other Software &amp; Cloud Subscriptions</t>
  </si>
  <si>
    <t>5090.09 Streamline</t>
  </si>
  <si>
    <t>5090.08 QuickBooks Online</t>
  </si>
  <si>
    <t>5090.07 Microsoft 365 / Email Licenses</t>
  </si>
  <si>
    <t>5090.06 LastPass</t>
  </si>
  <si>
    <t>5090.05 Google Suite</t>
  </si>
  <si>
    <t>5090.04 Docusign</t>
  </si>
  <si>
    <t>5090.02 ChatGPT / AI Tools</t>
  </si>
  <si>
    <t>5090.01 Adobe</t>
  </si>
  <si>
    <t>5090 SOFTWARE &amp; CLOUD SUBSCRIPTIONS</t>
  </si>
  <si>
    <t>Total for 5000 ADMINISTRATIVE EXPENSES</t>
  </si>
  <si>
    <t>5075 Small Tools, Equipment &amp; Field Supplies</t>
  </si>
  <si>
    <t>5070 Repairs &amp; Maintenance</t>
  </si>
  <si>
    <t>5060 IT Support / Computer Maintenance</t>
  </si>
  <si>
    <t>5055 Travel &amp; Conferences</t>
  </si>
  <si>
    <t>5050 Telephone / Communications</t>
  </si>
  <si>
    <t>5045 Postage &amp; Delivery</t>
  </si>
  <si>
    <t>5040 Rent / Office Lease Expense</t>
  </si>
  <si>
    <t>5035 Office Supplies &amp; Expenses</t>
  </si>
  <si>
    <t>5030 Dues &amp; Subscriptions</t>
  </si>
  <si>
    <t>5025 Insurance</t>
  </si>
  <si>
    <t>5020 Copier Lease</t>
  </si>
  <si>
    <t>5015 Advertising / Legal Notices / Public Communications</t>
  </si>
  <si>
    <t>5005 Bank Service Charges</t>
  </si>
  <si>
    <t>5000 ADMINISTRATIVE EXPENSES</t>
  </si>
  <si>
    <t>Expenses</t>
  </si>
  <si>
    <t>Gross Profit</t>
  </si>
  <si>
    <t>Total for Income</t>
  </si>
  <si>
    <t>Total for 4200 OTHER INCOME</t>
  </si>
  <si>
    <t>4295 Misc Other Income</t>
  </si>
  <si>
    <t>4205 Estoppel Letter Fees</t>
  </si>
  <si>
    <t>4200 OTHER INCOME</t>
  </si>
  <si>
    <t>4100 Interest Income</t>
  </si>
  <si>
    <t>Total for 4000 TAX REVENUES</t>
  </si>
  <si>
    <t>4005 Ad Valorem Taxes</t>
  </si>
  <si>
    <t>4000 TAX REVENUES</t>
  </si>
  <si>
    <t>Income</t>
  </si>
  <si>
    <t>CEPD - General</t>
  </si>
  <si>
    <t>Total for 7000 DEBT SERVICE / LEASE / DEPRECIATION</t>
  </si>
  <si>
    <t>7005 Debt Service - Interest</t>
  </si>
  <si>
    <t>7000 DEBT SERVICE / LEASE / DEPRECIATION</t>
  </si>
  <si>
    <t>Total for Other Income</t>
  </si>
  <si>
    <t>8505 Unrealized Gain / Loss on Investments</t>
  </si>
  <si>
    <t>Total for 6000 TRANSFERS IN / OTHER FINANCING SOURCES</t>
  </si>
  <si>
    <t>6005 Transfer from General Fund- Reserve</t>
  </si>
  <si>
    <t>6000 TRANSFERS IN / OTHER FINANCING SOURCES</t>
  </si>
  <si>
    <t>Other Income</t>
  </si>
  <si>
    <t>Total for 5700 PROJECT / BEACH MAINTENANCE EXPENSES</t>
  </si>
  <si>
    <t>5745 Beach / Dune Signage</t>
  </si>
  <si>
    <t>5725 Beach Renourishment</t>
  </si>
  <si>
    <t>5720 Beach Maintenance / Sand Management</t>
  </si>
  <si>
    <t>5715 Dune Protection Fencing</t>
  </si>
  <si>
    <t>5710 Iguana Control</t>
  </si>
  <si>
    <t>5705 Australian Pine Removal</t>
  </si>
  <si>
    <t>5700 PROJECT / BEACH MAINTENANCE EXPENSES</t>
  </si>
  <si>
    <t>Total for 5600 PARKING LOT EXPENSES</t>
  </si>
  <si>
    <t>5655 Beach Ambassador Supplies &amp; Equipment</t>
  </si>
  <si>
    <t>5650 Beach Ambassador Uniforms</t>
  </si>
  <si>
    <t>5645 Sales Tax Expense / Adjustments</t>
  </si>
  <si>
    <t>5640 Parking Collection Fees</t>
  </si>
  <si>
    <t>5635 Parking Lot Equipment Maintenance</t>
  </si>
  <si>
    <t>5625 Parking Lot Signage</t>
  </si>
  <si>
    <t>5620 Parking Lot Improvements</t>
  </si>
  <si>
    <t>5615 Portable Toilets</t>
  </si>
  <si>
    <t>5610 Waste Disposal / Dumpster Services</t>
  </si>
  <si>
    <t>5600 PARKING LOT EXPENSES</t>
  </si>
  <si>
    <t>5350 Evan Cutler / Consulting</t>
  </si>
  <si>
    <t>5345 Landscape Architecture / Design Consulting</t>
  </si>
  <si>
    <t>Total for 5330 Environmental / Project Monitoring</t>
  </si>
  <si>
    <t>5340 Shorebird Monitoring</t>
  </si>
  <si>
    <t>5335 Sea Turtle Monitoring</t>
  </si>
  <si>
    <t>5330 Environmental / Project Monitoring</t>
  </si>
  <si>
    <t>5325 Legislative / Lobbying Services</t>
  </si>
  <si>
    <t>5320 Engineering / Technical Consulting</t>
  </si>
  <si>
    <t>5315 Legal Fees</t>
  </si>
  <si>
    <t>Total for 5200 COST OF COLLECTING SPECIAL ASSESSMENTS</t>
  </si>
  <si>
    <t>5200 COST OF COLLECTING SPECIAL ASSESSMENTS</t>
  </si>
  <si>
    <t>5120 Health Insurance Reimbursements</t>
  </si>
  <si>
    <t>5085 Travel, Milage &amp; Toll Reimbursements</t>
  </si>
  <si>
    <t>5080 Misc Administrative Expense</t>
  </si>
  <si>
    <t>Total for 4400 PARKING REVENUES</t>
  </si>
  <si>
    <t>4405 Parking Lot Revenue</t>
  </si>
  <si>
    <t>4400 PARKING REVENUES</t>
  </si>
  <si>
    <t>Total for 4300 INTERGOVERNMENTAL / GRANT REVENUES</t>
  </si>
  <si>
    <t>4315 Grant Income - Federal</t>
  </si>
  <si>
    <t>4310 Grant Income - State</t>
  </si>
  <si>
    <t>4305 Local Government Contributions / Reimbursements</t>
  </si>
  <si>
    <t>4300 INTERGOVERNMENTAL / GRANT REVENUES</t>
  </si>
  <si>
    <t>4200 Other Income</t>
  </si>
  <si>
    <t>Total for 4000 SPECIAL ASSESSMENT REVENUES</t>
  </si>
  <si>
    <t>4005 Special Assessments</t>
  </si>
  <si>
    <t>4000 SPECIAL ASSESSMENT REVENUES</t>
  </si>
  <si>
    <t>not sure when we will receive it's dependant on FDEP below</t>
  </si>
  <si>
    <t>2008  Visa</t>
  </si>
  <si>
    <t>5065 Website Maintenance</t>
  </si>
  <si>
    <t>Revenue and Expenditures</t>
  </si>
  <si>
    <t>Total for 8010 CAPITAL OUTLAY</t>
  </si>
  <si>
    <t>8025 Equipment purchases</t>
  </si>
  <si>
    <t>8020 Office furniture</t>
  </si>
  <si>
    <t>8010 CAPITAL OUTLAY</t>
  </si>
  <si>
    <t>Consulting (deleted)</t>
  </si>
  <si>
    <t>5395 Other-Professional Fees</t>
  </si>
  <si>
    <t>Total for 5014 Utilities (deleted)</t>
  </si>
  <si>
    <t>Electric (deleted)</t>
  </si>
  <si>
    <t>5014 Utilities (deleted)</t>
  </si>
  <si>
    <t>5010 Board Meeting Expenses</t>
  </si>
  <si>
    <t>Cost of Goods Sold</t>
  </si>
  <si>
    <t>Over budget by</t>
  </si>
  <si>
    <t>Budget</t>
  </si>
  <si>
    <t>Actual</t>
  </si>
  <si>
    <t>Budget vs. Actuals_Budget_FY26_P&amp;L__Report</t>
  </si>
  <si>
    <t>Net Income/ (Loss)</t>
  </si>
  <si>
    <t>Net Other Income/ (Loss)</t>
  </si>
  <si>
    <t>Net Operating Income/ (Loss)</t>
  </si>
  <si>
    <t>Local Grant Funding Requests (deleted)</t>
  </si>
  <si>
    <t>Total for Beach Maintenance &amp; Monitoring (deleted)</t>
  </si>
  <si>
    <t>Beach Maintenance (deleted)</t>
  </si>
  <si>
    <t>Beach Maintenance &amp; Monitoring (deleted)</t>
  </si>
  <si>
    <t>5740 Dune Enhancement Project</t>
  </si>
  <si>
    <t>5735 Captiva Bayside Initiative</t>
  </si>
  <si>
    <t>5685 Storm / Hurricane Parking Lot Repairs</t>
  </si>
  <si>
    <t>5605 Parking Lot Maintenance</t>
  </si>
  <si>
    <t>As of Aug 31, 2026</t>
  </si>
  <si>
    <t>ck figures</t>
  </si>
  <si>
    <t>5090.03 Constant Contact</t>
  </si>
  <si>
    <t>October, 2025-August, 2026</t>
  </si>
  <si>
    <t>Oct 1 2025 -August 31 2026 (YTD)</t>
  </si>
  <si>
    <t>5090.08 Software &amp; Online Services</t>
  </si>
  <si>
    <t>Florida Fish and Wildlife Conservation Commission</t>
  </si>
  <si>
    <t>FWC Agreement 25109 - CEPD Invasive Exotic Species Removal</t>
  </si>
  <si>
    <t>Total for Florida Fish and Wildlife Conservation Commission</t>
  </si>
  <si>
    <t>25LE1 Captiva Island Beach Nourishment Project</t>
  </si>
  <si>
    <t>Total for LGFR / FDEP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</si>
</sst>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[Red]\(#,##0.00\);\-"/>
    <numFmt numFmtId="165" formatCode="&quot;$&quot;#,##0.00"/>
    <numFmt numFmtId="166" formatCode="0.00_);[Red]\(0.00\)"/>
  </numFmts>
  <fonts count="26" x14ac:knownFonts="1">
    <font>
      <sz val="12"/>
      <color theme="1"/>
      <name val="Calibri"/>
    </font>
    <font>
      <b/>
      <sz val="14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b/>
      <sz val="12"/>
      <color theme="1"/>
      <name val="Calibri"/>
    </font>
    <font>
      <b/>
      <sz val="9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i/>
      <sz val="12"/>
      <color theme="1"/>
      <name val="Calibri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</font>
    <font>
      <sz val="12"/>
      <color rgb="FFFF0000"/>
      <name val="Calibri"/>
      <family val="2"/>
      <scheme val="minor"/>
    </font>
    <font>
      <sz val="12"/>
      <color theme="4"/>
      <name val="Calibri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2"/>
      <color theme="1"/>
      <name val="Calibri"/>
    </font>
    <font>
      <sz val="8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1"/>
    <xf numFmtId="0" fontId="9" fillId="0" borderId="0"/>
    <xf numFmtId="0" fontId="12" fillId="0" borderId="1"/>
    <xf numFmtId="43" fontId="22" fillId="0" borderId="0" applyFont="0" applyFill="0" applyBorder="0" applyAlignment="0" applyProtection="0"/>
    <xf numFmtId="0" fontId="12" fillId="0" borderId="0"/>
    <xf numFmtId="0" fontId="12" fillId="0" borderId="2"/>
  </cellStyleXfs>
  <cellXfs count="80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4" fontId="6" fillId="0" borderId="0" xfId="0" applyNumberFormat="1" applyFont="1" applyAlignment="1">
      <alignment wrapText="1"/>
    </xf>
    <xf numFmtId="0" fontId="7" fillId="0" borderId="0" xfId="0" applyFont="1" applyAlignment="1">
      <alignment horizontal="left" wrapText="1"/>
    </xf>
    <xf numFmtId="0" fontId="5" fillId="0" borderId="3" xfId="1" applyFont="1" applyBorder="1" applyAlignment="1">
      <alignment horizontal="center" wrapText="1"/>
    </xf>
    <xf numFmtId="0" fontId="0" fillId="0" borderId="3" xfId="0" applyBorder="1"/>
    <xf numFmtId="0" fontId="8" fillId="0" borderId="0" xfId="0" applyFont="1"/>
    <xf numFmtId="164" fontId="6" fillId="0" borderId="0" xfId="0" applyNumberFormat="1" applyFont="1" applyAlignment="1">
      <alignment wrapText="1"/>
    </xf>
    <xf numFmtId="164" fontId="7" fillId="0" borderId="2" xfId="0" applyNumberFormat="1" applyFont="1" applyBorder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7" fillId="2" borderId="2" xfId="0" applyNumberFormat="1" applyFont="1" applyFill="1" applyBorder="1" applyAlignment="1">
      <alignment wrapText="1"/>
    </xf>
    <xf numFmtId="0" fontId="9" fillId="0" borderId="0" xfId="2"/>
    <xf numFmtId="0" fontId="9" fillId="0" borderId="0" xfId="2" applyAlignment="1">
      <alignment wrapText="1"/>
    </xf>
    <xf numFmtId="165" fontId="11" fillId="0" borderId="2" xfId="2" applyNumberFormat="1" applyFont="1" applyBorder="1" applyAlignment="1">
      <alignment wrapText="1"/>
    </xf>
    <xf numFmtId="4" fontId="11" fillId="0" borderId="2" xfId="2" applyNumberFormat="1" applyFont="1" applyBorder="1" applyAlignment="1">
      <alignment wrapText="1"/>
    </xf>
    <xf numFmtId="4" fontId="10" fillId="0" borderId="0" xfId="2" applyNumberFormat="1" applyFont="1" applyAlignment="1">
      <alignment wrapText="1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left" wrapText="1"/>
    </xf>
    <xf numFmtId="0" fontId="11" fillId="0" borderId="0" xfId="2" applyFont="1" applyAlignment="1">
      <alignment horizontal="left" wrapText="1"/>
    </xf>
    <xf numFmtId="0" fontId="10" fillId="0" borderId="0" xfId="2" applyFont="1" applyAlignment="1">
      <alignment horizontal="left" wrapText="1" indent="1"/>
    </xf>
    <xf numFmtId="0" fontId="13" fillId="0" borderId="1" xfId="3" applyFont="1" applyAlignment="1">
      <alignment horizontal="center" wrapText="1"/>
    </xf>
    <xf numFmtId="40" fontId="0" fillId="0" borderId="0" xfId="0" applyNumberFormat="1"/>
    <xf numFmtId="0" fontId="11" fillId="0" borderId="0" xfId="2" applyFont="1" applyAlignment="1">
      <alignment horizontal="left" wrapText="1" indent="1"/>
    </xf>
    <xf numFmtId="0" fontId="10" fillId="0" borderId="0" xfId="2" applyFont="1" applyAlignment="1">
      <alignment horizontal="left" wrapText="1" indent="2"/>
    </xf>
    <xf numFmtId="0" fontId="11" fillId="0" borderId="0" xfId="2" applyFont="1" applyAlignment="1">
      <alignment horizontal="left" wrapText="1" indent="2"/>
    </xf>
    <xf numFmtId="165" fontId="10" fillId="0" borderId="0" xfId="2" applyNumberFormat="1" applyFont="1" applyAlignment="1">
      <alignment wrapText="1"/>
    </xf>
    <xf numFmtId="0" fontId="10" fillId="0" borderId="0" xfId="2" applyFont="1" applyAlignment="1">
      <alignment horizontal="left" wrapText="1" indent="3"/>
    </xf>
    <xf numFmtId="0" fontId="18" fillId="0" borderId="0" xfId="2" applyFont="1"/>
    <xf numFmtId="0" fontId="19" fillId="0" borderId="0" xfId="0" applyFont="1"/>
    <xf numFmtId="0" fontId="17" fillId="0" borderId="0" xfId="0" applyFont="1" applyAlignment="1">
      <alignment horizontal="center" wrapText="1"/>
    </xf>
    <xf numFmtId="165" fontId="20" fillId="0" borderId="2" xfId="2" applyNumberFormat="1" applyFont="1" applyBorder="1" applyAlignment="1">
      <alignment wrapText="1"/>
    </xf>
    <xf numFmtId="4" fontId="21" fillId="0" borderId="0" xfId="2" applyNumberFormat="1" applyFont="1" applyAlignment="1">
      <alignment wrapText="1"/>
    </xf>
    <xf numFmtId="0" fontId="9" fillId="0" borderId="1" xfId="2" applyBorder="1" applyAlignment="1">
      <alignment wrapText="1"/>
    </xf>
    <xf numFmtId="0" fontId="13" fillId="0" borderId="1" xfId="3" applyFont="1" applyAlignment="1">
      <alignment wrapText="1"/>
    </xf>
    <xf numFmtId="0" fontId="6" fillId="0" borderId="0" xfId="0" applyFont="1" applyAlignment="1">
      <alignment wrapText="1"/>
    </xf>
    <xf numFmtId="0" fontId="14" fillId="0" borderId="0" xfId="2" applyFont="1" applyAlignment="1">
      <alignment horizontal="center" wrapText="1"/>
    </xf>
    <xf numFmtId="0" fontId="9" fillId="0" borderId="0" xfId="2" applyAlignment="1">
      <alignment wrapText="1"/>
    </xf>
    <xf numFmtId="0" fontId="10" fillId="0" borderId="0" xfId="2" applyFont="1" applyAlignment="1">
      <alignment horizontal="center" wrapText="1"/>
    </xf>
    <xf numFmtId="0" fontId="16" fillId="0" borderId="0" xfId="2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5" fillId="0" borderId="0" xfId="2" applyFont="1" applyAlignment="1">
      <alignment horizontal="center" wrapText="1"/>
    </xf>
    <xf numFmtId="0" fontId="13" fillId="0" borderId="1" xfId="3" applyFont="1" applyAlignment="1">
      <alignment horizontal="center" wrapText="1"/>
    </xf>
    <xf numFmtId="0" fontId="9" fillId="0" borderId="1" xfId="2" applyBorder="1" applyAlignment="1">
      <alignment wrapText="1"/>
    </xf>
    <xf numFmtId="166" fontId="10" fillId="0" borderId="0" xfId="2" applyNumberFormat="1" applyFont="1" applyAlignment="1">
      <alignment wrapText="1"/>
    </xf>
    <xf numFmtId="166" fontId="9" fillId="0" borderId="0" xfId="2" applyNumberFormat="1" applyAlignment="1">
      <alignment wrapText="1"/>
    </xf>
    <xf numFmtId="43" fontId="10" fillId="0" borderId="0" xfId="4" applyFont="1" applyAlignment="1">
      <alignment wrapText="1"/>
    </xf>
    <xf numFmtId="40" fontId="23" fillId="0" borderId="0" xfId="4" applyNumberFormat="1" applyFont="1" applyAlignment="1">
      <alignment wrapText="1"/>
    </xf>
    <xf numFmtId="17" fontId="13" fillId="0" borderId="1" xfId="3" applyNumberFormat="1" applyFont="1" applyAlignment="1">
      <alignment horizontal="center" wrapText="1"/>
    </xf>
    <xf numFmtId="165" fontId="11" fillId="0" borderId="0" xfId="2" applyNumberFormat="1" applyFont="1" applyBorder="1" applyAlignment="1">
      <alignment wrapText="1"/>
    </xf>
    <xf numFmtId="165" fontId="11" fillId="0" borderId="1" xfId="2" applyNumberFormat="1" applyFont="1" applyBorder="1" applyAlignment="1">
      <alignment wrapText="1"/>
    </xf>
    <xf numFmtId="0" fontId="9" fillId="0" borderId="0" xfId="2"/>
    <xf numFmtId="0" fontId="13" fillId="0" borderId="1" xfId="3" applyFont="1" applyAlignment="1">
      <alignment horizontal="center" wrapText="1"/>
    </xf>
    <xf numFmtId="0" fontId="10" fillId="0" borderId="0" xfId="2" applyFont="1" applyAlignment="1">
      <alignment horizontal="left" wrapText="1" indent="1"/>
    </xf>
    <xf numFmtId="0" fontId="10" fillId="0" borderId="0" xfId="2" applyFont="1" applyAlignment="1">
      <alignment horizontal="left" wrapText="1" indent="2"/>
    </xf>
    <xf numFmtId="0" fontId="11" fillId="0" borderId="0" xfId="2" applyFont="1" applyAlignment="1">
      <alignment horizontal="left" wrapText="1" indent="1"/>
    </xf>
    <xf numFmtId="0" fontId="10" fillId="0" borderId="0" xfId="2" applyFont="1" applyAlignment="1">
      <alignment wrapText="1"/>
    </xf>
    <xf numFmtId="4" fontId="10" fillId="0" borderId="0" xfId="2" applyNumberFormat="1" applyFont="1" applyAlignment="1">
      <alignment wrapText="1"/>
    </xf>
    <xf numFmtId="165" fontId="11" fillId="0" borderId="2" xfId="2" applyNumberFormat="1" applyFont="1" applyBorder="1" applyAlignment="1">
      <alignment wrapText="1"/>
    </xf>
    <xf numFmtId="40" fontId="24" fillId="0" borderId="2" xfId="4" applyNumberFormat="1" applyFont="1" applyBorder="1" applyAlignment="1">
      <alignment wrapText="1"/>
    </xf>
    <xf numFmtId="40" fontId="25" fillId="0" borderId="0" xfId="4" applyNumberFormat="1" applyFont="1" applyAlignment="1">
      <alignment wrapText="1"/>
    </xf>
    <xf numFmtId="40" fontId="24" fillId="0" borderId="0" xfId="4" applyNumberFormat="1" applyFont="1" applyBorder="1" applyAlignment="1">
      <alignment wrapText="1"/>
    </xf>
    <xf numFmtId="40" fontId="23" fillId="0" borderId="1" xfId="4" applyNumberFormat="1" applyFont="1" applyBorder="1" applyAlignment="1">
      <alignment wrapText="1"/>
    </xf>
    <xf numFmtId="0" fontId="9" fillId="0" borderId="0" xfId="2" applyBorder="1" applyAlignment="1">
      <alignment wrapText="1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 indent="1"/>
    </xf>
    <xf numFmtId="4" fontId="10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165" fontId="11" fillId="0" borderId="2" xfId="0" applyNumberFormat="1" applyFont="1" applyBorder="1" applyAlignment="1">
      <alignment wrapText="1"/>
    </xf>
    <xf numFmtId="4" fontId="11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8" fillId="0" borderId="0" xfId="2" applyFont="1" applyAlignment="1">
      <alignment wrapText="1"/>
    </xf>
  </cellXfs>
  <cellStyles count="7">
    <cellStyle name="Comma" xfId="4" builtinId="3"/>
    <cellStyle name="GroupedCellStyle" xfId="5" xr:uid="{2E88B14F-3A95-4213-842E-EDFEE58879C1}"/>
    <cellStyle name="HeaderCellStyle" xfId="1" xr:uid="{00000000-0005-0000-0000-000000000000}"/>
    <cellStyle name="HeaderCellStyle 2" xfId="3" xr:uid="{23D48168-6D38-4EEF-A5E7-B2130D94B14E}"/>
    <cellStyle name="Normal" xfId="0" builtinId="0"/>
    <cellStyle name="Normal 2" xfId="2" xr:uid="{8E8C6FDA-BEED-4B90-A189-72C2BCB01E21}"/>
    <cellStyle name="TotalCellStyle" xfId="6" xr:uid="{1BE0FD16-62C2-4F05-B36B-AEE27F0DA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8" sqref="G8"/>
    </sheetView>
  </sheetViews>
  <sheetFormatPr defaultColWidth="11.19921875" defaultRowHeight="15.6" x14ac:dyDescent="0.3"/>
  <cols>
    <col min="1" max="1" width="43" style="1" customWidth="1"/>
    <col min="2" max="2" width="16.09765625" style="1" customWidth="1"/>
    <col min="3" max="3" width="5.19921875" customWidth="1"/>
    <col min="4" max="4" width="12.69921875" customWidth="1"/>
    <col min="5" max="5" width="5.5" customWidth="1"/>
    <col min="6" max="6" width="13.09765625" customWidth="1"/>
    <col min="7" max="7" width="13.5" customWidth="1"/>
    <col min="8" max="8" width="13.09765625" bestFit="1" customWidth="1"/>
  </cols>
  <sheetData>
    <row r="1" spans="1:8" ht="15.6" customHeight="1" x14ac:dyDescent="0.3">
      <c r="A1" s="43" t="s">
        <v>0</v>
      </c>
      <c r="B1" s="43"/>
      <c r="C1" s="43"/>
      <c r="D1" s="43"/>
      <c r="E1" s="43"/>
      <c r="F1" s="43"/>
    </row>
    <row r="2" spans="1:8" x14ac:dyDescent="0.3">
      <c r="A2" s="41"/>
      <c r="B2" s="42"/>
    </row>
    <row r="3" spans="1:8" x14ac:dyDescent="0.3">
      <c r="A3" s="44" t="s">
        <v>242</v>
      </c>
      <c r="B3" s="44"/>
      <c r="C3" s="44"/>
      <c r="D3" s="44"/>
      <c r="E3" s="44"/>
      <c r="F3" s="44"/>
    </row>
    <row r="4" spans="1:8" x14ac:dyDescent="0.3">
      <c r="A4"/>
      <c r="B4"/>
    </row>
    <row r="5" spans="1:8" x14ac:dyDescent="0.3">
      <c r="A5" s="5" t="s">
        <v>1</v>
      </c>
      <c r="B5" s="5" t="s">
        <v>2</v>
      </c>
      <c r="C5" s="6"/>
      <c r="D5" s="5" t="s">
        <v>3</v>
      </c>
      <c r="E5" s="6"/>
      <c r="F5" s="5" t="s">
        <v>4</v>
      </c>
      <c r="H5" t="s">
        <v>243</v>
      </c>
    </row>
    <row r="6" spans="1:8" x14ac:dyDescent="0.3">
      <c r="A6" s="2" t="s">
        <v>5</v>
      </c>
      <c r="B6"/>
      <c r="D6" s="1"/>
      <c r="F6" s="1"/>
    </row>
    <row r="7" spans="1:8" x14ac:dyDescent="0.3">
      <c r="A7" s="2" t="s">
        <v>6</v>
      </c>
      <c r="B7"/>
      <c r="D7" s="1"/>
      <c r="F7" s="1"/>
    </row>
    <row r="8" spans="1:8" x14ac:dyDescent="0.3">
      <c r="A8" s="2" t="s">
        <v>7</v>
      </c>
      <c r="B8"/>
      <c r="D8" s="1"/>
      <c r="F8" s="1"/>
    </row>
    <row r="9" spans="1:8" x14ac:dyDescent="0.3">
      <c r="A9" s="2" t="s">
        <v>61</v>
      </c>
      <c r="B9" s="8">
        <v>1046460.11</v>
      </c>
      <c r="D9" s="8"/>
      <c r="F9" s="8">
        <f>SUM(B9,D9)</f>
        <v>1046460.11</v>
      </c>
    </row>
    <row r="10" spans="1:8" x14ac:dyDescent="0.3">
      <c r="A10" s="2" t="s">
        <v>80</v>
      </c>
      <c r="B10" s="8"/>
      <c r="D10" s="8">
        <v>394053.3</v>
      </c>
      <c r="F10" s="8">
        <f t="shared" ref="F10:F11" si="0">SUM(B10,D10)</f>
        <v>394053.3</v>
      </c>
    </row>
    <row r="11" spans="1:8" x14ac:dyDescent="0.3">
      <c r="A11" s="2" t="s">
        <v>8</v>
      </c>
      <c r="B11" s="8"/>
      <c r="D11" s="8"/>
      <c r="F11" s="8">
        <f t="shared" si="0"/>
        <v>0</v>
      </c>
    </row>
    <row r="12" spans="1:8" x14ac:dyDescent="0.3">
      <c r="A12" s="2" t="s">
        <v>83</v>
      </c>
      <c r="B12" s="8">
        <v>368292.59</v>
      </c>
      <c r="D12" s="8"/>
      <c r="F12" s="8">
        <f>SUM(B12,D12)</f>
        <v>368292.59</v>
      </c>
    </row>
    <row r="13" spans="1:8" x14ac:dyDescent="0.3">
      <c r="A13" s="2" t="s">
        <v>84</v>
      </c>
      <c r="B13" s="8">
        <v>8757405.5</v>
      </c>
      <c r="D13" s="8"/>
      <c r="F13" s="8">
        <f>SUM(B13,D13)</f>
        <v>8757405.5</v>
      </c>
    </row>
    <row r="14" spans="1:8" x14ac:dyDescent="0.3">
      <c r="A14" s="2" t="s">
        <v>85</v>
      </c>
      <c r="B14" s="8">
        <v>122912.12</v>
      </c>
      <c r="D14" s="8"/>
      <c r="F14" s="8">
        <f>SUM(B14,D14)</f>
        <v>122912.12</v>
      </c>
    </row>
    <row r="15" spans="1:8" x14ac:dyDescent="0.3">
      <c r="A15" s="4" t="s">
        <v>9</v>
      </c>
      <c r="B15" s="9">
        <f>SUM(B12:B14)</f>
        <v>9248610.209999999</v>
      </c>
      <c r="D15" s="9">
        <f>SUM(D12:D14)</f>
        <v>0</v>
      </c>
      <c r="F15" s="9">
        <f>SUM(F12:F14)</f>
        <v>9248610.209999999</v>
      </c>
    </row>
    <row r="16" spans="1:8" x14ac:dyDescent="0.3">
      <c r="A16" s="2"/>
      <c r="B16" s="8"/>
      <c r="D16" s="8"/>
      <c r="F16" s="8"/>
    </row>
    <row r="17" spans="1:10" x14ac:dyDescent="0.3">
      <c r="A17" s="4" t="s">
        <v>10</v>
      </c>
      <c r="B17" s="9">
        <f>SUM(B9,B15)</f>
        <v>10295070.319999998</v>
      </c>
      <c r="D17" s="9">
        <f>SUM(D10,D15)</f>
        <v>394053.3</v>
      </c>
      <c r="F17" s="9">
        <f>SUM(B17,D17)</f>
        <v>10689123.619999999</v>
      </c>
    </row>
    <row r="18" spans="1:10" x14ac:dyDescent="0.3">
      <c r="A18" s="2" t="s">
        <v>11</v>
      </c>
      <c r="B18" s="10"/>
      <c r="D18" s="11"/>
      <c r="F18" s="11"/>
    </row>
    <row r="19" spans="1:10" x14ac:dyDescent="0.3">
      <c r="A19" s="2" t="s">
        <v>62</v>
      </c>
      <c r="B19" s="8">
        <v>6432253.8200000003</v>
      </c>
      <c r="D19" s="8"/>
      <c r="F19" s="8">
        <f>SUM(B19,D19)</f>
        <v>6432253.8200000003</v>
      </c>
      <c r="H19" s="8">
        <f>F19-'AR Capital'!G15</f>
        <v>0</v>
      </c>
    </row>
    <row r="20" spans="1:10" x14ac:dyDescent="0.3">
      <c r="A20" s="4" t="s">
        <v>12</v>
      </c>
      <c r="B20" s="9">
        <f>SUM(B19)</f>
        <v>6432253.8200000003</v>
      </c>
      <c r="D20" s="9">
        <f>SUM(D19)</f>
        <v>0</v>
      </c>
      <c r="F20" s="9">
        <f>SUM(B20,D20)</f>
        <v>6432253.8200000003</v>
      </c>
    </row>
    <row r="21" spans="1:10" x14ac:dyDescent="0.3">
      <c r="A21" s="2" t="s">
        <v>13</v>
      </c>
      <c r="B21" s="10"/>
      <c r="D21" s="11"/>
      <c r="F21" s="11"/>
    </row>
    <row r="22" spans="1:10" x14ac:dyDescent="0.3">
      <c r="A22" s="2" t="s">
        <v>81</v>
      </c>
      <c r="B22" s="8">
        <v>0</v>
      </c>
      <c r="D22" s="8">
        <v>246216.58</v>
      </c>
      <c r="F22" s="8">
        <f>SUM(B22,D22)</f>
        <v>246216.58</v>
      </c>
      <c r="H22" s="23">
        <f>D22-B56</f>
        <v>0</v>
      </c>
    </row>
    <row r="23" spans="1:10" x14ac:dyDescent="0.3">
      <c r="A23" s="2" t="s">
        <v>14</v>
      </c>
      <c r="B23" s="8">
        <v>1497.31</v>
      </c>
      <c r="D23" s="8">
        <v>1497.31</v>
      </c>
      <c r="F23" s="8">
        <f>SUM(B23,D23)</f>
        <v>2994.62</v>
      </c>
    </row>
    <row r="24" spans="1:10" x14ac:dyDescent="0.3">
      <c r="A24" s="2" t="s">
        <v>15</v>
      </c>
      <c r="B24" s="8">
        <v>0</v>
      </c>
      <c r="D24" s="8">
        <v>0</v>
      </c>
      <c r="F24" s="8">
        <f>SUM(B24,D24)</f>
        <v>0</v>
      </c>
      <c r="J24" s="30"/>
    </row>
    <row r="25" spans="1:10" x14ac:dyDescent="0.3">
      <c r="A25" s="2" t="s">
        <v>63</v>
      </c>
      <c r="B25" s="8"/>
      <c r="D25" s="8"/>
      <c r="F25" s="8"/>
      <c r="G25" s="31"/>
      <c r="H25" s="31"/>
    </row>
    <row r="26" spans="1:10" x14ac:dyDescent="0.3">
      <c r="A26" s="2" t="s">
        <v>86</v>
      </c>
      <c r="B26" s="8">
        <v>2432532.1800000002</v>
      </c>
      <c r="D26" s="8"/>
      <c r="F26" s="8">
        <f>SUM(B26,D26)</f>
        <v>2432532.1800000002</v>
      </c>
      <c r="G26" s="8"/>
      <c r="H26" s="23"/>
    </row>
    <row r="27" spans="1:10" x14ac:dyDescent="0.3">
      <c r="A27" s="2" t="s">
        <v>87</v>
      </c>
      <c r="B27" s="8">
        <v>-61620.35</v>
      </c>
      <c r="D27" s="8"/>
      <c r="F27" s="8">
        <f>SUM(B27,D27)</f>
        <v>-61620.35</v>
      </c>
    </row>
    <row r="28" spans="1:10" x14ac:dyDescent="0.3">
      <c r="A28" s="4" t="s">
        <v>64</v>
      </c>
      <c r="B28" s="9">
        <f>SUM(B26:B27)</f>
        <v>2370911.83</v>
      </c>
      <c r="D28" s="9">
        <f>SUM(D26:D27)</f>
        <v>0</v>
      </c>
      <c r="F28" s="9">
        <f>SUM(F26:F27)</f>
        <v>2370911.83</v>
      </c>
    </row>
    <row r="29" spans="1:10" x14ac:dyDescent="0.3">
      <c r="A29" s="4" t="s">
        <v>16</v>
      </c>
      <c r="B29" s="9">
        <f>SUM(B22:B24,B28)</f>
        <v>2372409.14</v>
      </c>
      <c r="D29" s="9">
        <f>SUM(D22:D24,D28)</f>
        <v>247713.88999999998</v>
      </c>
      <c r="F29" s="9">
        <f>SUM(B29,D29)</f>
        <v>2620123.0300000003</v>
      </c>
    </row>
    <row r="30" spans="1:10" x14ac:dyDescent="0.3">
      <c r="A30" s="4" t="s">
        <v>17</v>
      </c>
      <c r="B30" s="9">
        <f>SUM(B17,B20,B29)</f>
        <v>19099733.279999997</v>
      </c>
      <c r="D30" s="9">
        <f>SUM(D17,D20,D29)</f>
        <v>641767.18999999994</v>
      </c>
      <c r="F30" s="9">
        <f>SUM(B30,D30)</f>
        <v>19741500.469999999</v>
      </c>
      <c r="H30" s="23"/>
    </row>
    <row r="31" spans="1:10" x14ac:dyDescent="0.3">
      <c r="A31" s="2" t="s">
        <v>18</v>
      </c>
      <c r="B31" s="10"/>
      <c r="D31" s="11"/>
      <c r="F31" s="11"/>
    </row>
    <row r="32" spans="1:10" x14ac:dyDescent="0.3">
      <c r="A32" s="2" t="s">
        <v>65</v>
      </c>
      <c r="B32" s="10"/>
      <c r="D32" s="11"/>
      <c r="F32" s="11"/>
    </row>
    <row r="33" spans="1:6" ht="28.8" customHeight="1" x14ac:dyDescent="0.3">
      <c r="A33" s="2" t="s">
        <v>66</v>
      </c>
      <c r="B33" s="10"/>
      <c r="D33" s="11"/>
      <c r="F33" s="11"/>
    </row>
    <row r="34" spans="1:6" x14ac:dyDescent="0.3">
      <c r="A34" s="2" t="s">
        <v>67</v>
      </c>
      <c r="B34" s="8">
        <v>6769675</v>
      </c>
      <c r="D34" s="8"/>
      <c r="F34" s="8"/>
    </row>
    <row r="35" spans="1:6" x14ac:dyDescent="0.3">
      <c r="A35" s="2" t="s">
        <v>88</v>
      </c>
      <c r="B35" s="8">
        <v>68091</v>
      </c>
      <c r="D35" s="8"/>
      <c r="F35" s="8">
        <f>SUM(B35,D35)</f>
        <v>68091</v>
      </c>
    </row>
    <row r="36" spans="1:6" x14ac:dyDescent="0.3">
      <c r="A36" s="2" t="s">
        <v>89</v>
      </c>
      <c r="B36" s="8">
        <v>11135190</v>
      </c>
      <c r="D36" s="8"/>
      <c r="F36" s="8">
        <f>SUM(B36,D36)</f>
        <v>11135190</v>
      </c>
    </row>
    <row r="37" spans="1:6" x14ac:dyDescent="0.3">
      <c r="A37" s="2" t="s">
        <v>90</v>
      </c>
      <c r="B37" s="8">
        <v>815.13</v>
      </c>
      <c r="D37" s="8">
        <v>47740.78</v>
      </c>
      <c r="F37" s="8">
        <f>SUM(B37,D37)</f>
        <v>48555.909999999996</v>
      </c>
    </row>
    <row r="38" spans="1:6" x14ac:dyDescent="0.3">
      <c r="A38" s="4" t="s">
        <v>68</v>
      </c>
      <c r="B38" s="9">
        <f>SUM(B35:B37)</f>
        <v>11204096.130000001</v>
      </c>
      <c r="D38" s="9">
        <f>SUM(D35:D37)</f>
        <v>47740.78</v>
      </c>
      <c r="F38" s="9">
        <f>SUM(F35:F37)</f>
        <v>11251836.91</v>
      </c>
    </row>
    <row r="39" spans="1:6" x14ac:dyDescent="0.3">
      <c r="A39" s="2" t="s">
        <v>69</v>
      </c>
      <c r="B39" s="8"/>
      <c r="D39" s="8"/>
      <c r="F39" s="8"/>
    </row>
    <row r="40" spans="1:6" x14ac:dyDescent="0.3">
      <c r="A40" s="2" t="s">
        <v>91</v>
      </c>
      <c r="B40" s="8">
        <v>-17022</v>
      </c>
      <c r="D40" s="8"/>
      <c r="F40" s="8">
        <f>SUM(B40,D40)</f>
        <v>-17022</v>
      </c>
    </row>
    <row r="41" spans="1:6" x14ac:dyDescent="0.3">
      <c r="A41" s="2" t="s">
        <v>92</v>
      </c>
      <c r="B41" s="8">
        <v>-6902360.4299999997</v>
      </c>
      <c r="D41" s="8"/>
      <c r="F41" s="8">
        <f>SUM(B41,D41)</f>
        <v>-6902360.4299999997</v>
      </c>
    </row>
    <row r="42" spans="1:6" x14ac:dyDescent="0.3">
      <c r="A42" s="2" t="s">
        <v>93</v>
      </c>
      <c r="B42" s="8">
        <v>-2.23</v>
      </c>
      <c r="D42" s="8">
        <v>-12336.22</v>
      </c>
      <c r="F42" s="8">
        <f>SUM(B42,D42)</f>
        <v>-12338.449999999999</v>
      </c>
    </row>
    <row r="43" spans="1:6" x14ac:dyDescent="0.3">
      <c r="A43" s="4" t="s">
        <v>70</v>
      </c>
      <c r="B43" s="9">
        <f>SUM(B40:B42)</f>
        <v>-6919384.6600000001</v>
      </c>
      <c r="D43" s="9">
        <f>SUM(D40:D42)</f>
        <v>-12336.22</v>
      </c>
      <c r="F43" s="9">
        <f>SUM(F40:F42)</f>
        <v>-6931720.8799999999</v>
      </c>
    </row>
    <row r="44" spans="1:6" x14ac:dyDescent="0.3">
      <c r="A44" s="4" t="s">
        <v>19</v>
      </c>
      <c r="B44" s="9">
        <f>SUM(B38,B43)+B34</f>
        <v>11054386.470000001</v>
      </c>
      <c r="D44" s="9">
        <f>SUM(D38,D43)</f>
        <v>35404.559999999998</v>
      </c>
      <c r="F44" s="9">
        <f>SUM(B44,D44)</f>
        <v>11089791.030000001</v>
      </c>
    </row>
    <row r="45" spans="1:6" x14ac:dyDescent="0.3">
      <c r="A45" s="2" t="s">
        <v>20</v>
      </c>
      <c r="B45" s="10"/>
      <c r="D45" s="11"/>
      <c r="F45" s="11"/>
    </row>
    <row r="46" spans="1:6" x14ac:dyDescent="0.3">
      <c r="A46" s="2" t="s">
        <v>21</v>
      </c>
      <c r="B46" s="8">
        <v>0</v>
      </c>
      <c r="D46" s="8">
        <v>0</v>
      </c>
      <c r="F46" s="8">
        <f t="shared" ref="F46:F48" si="1">SUM(B46,D46)</f>
        <v>0</v>
      </c>
    </row>
    <row r="47" spans="1:6" x14ac:dyDescent="0.3">
      <c r="A47" s="4" t="s">
        <v>22</v>
      </c>
      <c r="B47" s="9">
        <f>SUM(B46:B46)</f>
        <v>0</v>
      </c>
      <c r="D47" s="9">
        <f>SUM(D46:D46)</f>
        <v>0</v>
      </c>
      <c r="F47" s="9">
        <f t="shared" si="1"/>
        <v>0</v>
      </c>
    </row>
    <row r="48" spans="1:6" x14ac:dyDescent="0.3">
      <c r="A48" s="4" t="s">
        <v>23</v>
      </c>
      <c r="B48" s="9">
        <f>SUM(B30,B44,B47)</f>
        <v>30154119.75</v>
      </c>
      <c r="D48" s="9">
        <f>SUM(D30,D44,D47)</f>
        <v>677171.75</v>
      </c>
      <c r="F48" s="9">
        <f t="shared" si="1"/>
        <v>30831291.5</v>
      </c>
    </row>
    <row r="49" spans="1:8" x14ac:dyDescent="0.3">
      <c r="A49" s="2" t="s">
        <v>24</v>
      </c>
      <c r="B49" s="10"/>
      <c r="D49" s="11"/>
      <c r="F49" s="11"/>
    </row>
    <row r="50" spans="1:8" x14ac:dyDescent="0.3">
      <c r="A50" s="2" t="s">
        <v>25</v>
      </c>
      <c r="B50" s="10"/>
      <c r="D50" s="11"/>
      <c r="F50" s="11"/>
    </row>
    <row r="51" spans="1:8" x14ac:dyDescent="0.3">
      <c r="A51" s="2" t="s">
        <v>26</v>
      </c>
      <c r="B51" s="10"/>
      <c r="D51" s="11"/>
      <c r="F51" s="11"/>
    </row>
    <row r="52" spans="1:8" x14ac:dyDescent="0.3">
      <c r="A52" s="2" t="s">
        <v>27</v>
      </c>
      <c r="B52" s="10"/>
      <c r="D52" s="11"/>
      <c r="F52" s="11"/>
    </row>
    <row r="53" spans="1:8" x14ac:dyDescent="0.3">
      <c r="A53" s="2" t="s">
        <v>94</v>
      </c>
      <c r="B53" s="8">
        <v>0</v>
      </c>
      <c r="D53" s="8">
        <v>3674.54</v>
      </c>
      <c r="F53" s="8">
        <f>SUM(B53,D53)</f>
        <v>3674.54</v>
      </c>
    </row>
    <row r="54" spans="1:8" x14ac:dyDescent="0.3">
      <c r="A54" s="4" t="s">
        <v>28</v>
      </c>
      <c r="B54" s="9">
        <f>SUM(B53)</f>
        <v>0</v>
      </c>
      <c r="D54" s="9">
        <f>SUM(D53)</f>
        <v>3674.54</v>
      </c>
      <c r="F54" s="9">
        <f>SUM(B54,D54)</f>
        <v>3674.54</v>
      </c>
    </row>
    <row r="55" spans="1:8" x14ac:dyDescent="0.3">
      <c r="A55" s="2" t="s">
        <v>29</v>
      </c>
      <c r="B55" s="10"/>
      <c r="D55" s="11"/>
      <c r="F55" s="11"/>
    </row>
    <row r="56" spans="1:8" x14ac:dyDescent="0.3">
      <c r="A56" s="2" t="s">
        <v>71</v>
      </c>
      <c r="B56" s="8">
        <v>246216.58</v>
      </c>
      <c r="D56" s="8">
        <v>0</v>
      </c>
      <c r="F56" s="8">
        <f>SUM(B56,D56)</f>
        <v>246216.58</v>
      </c>
    </row>
    <row r="57" spans="1:8" x14ac:dyDescent="0.3">
      <c r="A57" s="2" t="s">
        <v>30</v>
      </c>
      <c r="B57" s="8">
        <v>0</v>
      </c>
      <c r="D57" s="8">
        <v>0</v>
      </c>
      <c r="F57" s="8">
        <f t="shared" ref="F57:F64" si="2">SUM(B57,D57)</f>
        <v>0</v>
      </c>
      <c r="H57" s="23">
        <f>B56-F22</f>
        <v>0</v>
      </c>
    </row>
    <row r="58" spans="1:8" x14ac:dyDescent="0.3">
      <c r="A58" s="2" t="s">
        <v>82</v>
      </c>
      <c r="B58" s="8">
        <v>0</v>
      </c>
      <c r="D58" s="8">
        <v>0</v>
      </c>
      <c r="F58" s="8">
        <f t="shared" si="2"/>
        <v>0</v>
      </c>
    </row>
    <row r="59" spans="1:8" x14ac:dyDescent="0.3">
      <c r="A59" s="2" t="s">
        <v>213</v>
      </c>
      <c r="B59" s="8"/>
      <c r="D59" s="8">
        <v>2698.1</v>
      </c>
      <c r="F59" s="8">
        <f t="shared" si="2"/>
        <v>2698.1</v>
      </c>
    </row>
    <row r="60" spans="1:8" x14ac:dyDescent="0.3">
      <c r="A60" s="2" t="s">
        <v>72</v>
      </c>
      <c r="B60" s="8">
        <v>0</v>
      </c>
      <c r="D60" s="8">
        <v>0</v>
      </c>
      <c r="F60" s="8">
        <f t="shared" si="2"/>
        <v>0</v>
      </c>
    </row>
    <row r="61" spans="1:8" x14ac:dyDescent="0.3">
      <c r="A61" s="2" t="s">
        <v>31</v>
      </c>
      <c r="B61" s="8">
        <v>0</v>
      </c>
      <c r="D61" s="8">
        <v>0</v>
      </c>
      <c r="F61" s="8">
        <f t="shared" si="2"/>
        <v>0</v>
      </c>
    </row>
    <row r="62" spans="1:8" x14ac:dyDescent="0.3">
      <c r="A62" s="2" t="s">
        <v>73</v>
      </c>
      <c r="B62" s="8">
        <v>0</v>
      </c>
      <c r="D62" s="8"/>
      <c r="F62" s="8">
        <f t="shared" si="2"/>
        <v>0</v>
      </c>
    </row>
    <row r="63" spans="1:8" x14ac:dyDescent="0.3">
      <c r="A63" s="2" t="s">
        <v>32</v>
      </c>
      <c r="B63" s="8">
        <v>9283.8799999999992</v>
      </c>
      <c r="D63" s="8">
        <v>5407.07</v>
      </c>
      <c r="F63" s="8">
        <f t="shared" si="2"/>
        <v>14690.949999999999</v>
      </c>
    </row>
    <row r="64" spans="1:8" x14ac:dyDescent="0.3">
      <c r="A64" s="2" t="s">
        <v>33</v>
      </c>
      <c r="B64" s="8">
        <v>0</v>
      </c>
      <c r="D64" s="8"/>
      <c r="F64" s="8">
        <f t="shared" si="2"/>
        <v>0</v>
      </c>
    </row>
    <row r="65" spans="1:8" x14ac:dyDescent="0.3">
      <c r="A65" s="2" t="s">
        <v>34</v>
      </c>
      <c r="B65" s="8">
        <v>0</v>
      </c>
      <c r="D65" s="8">
        <v>0</v>
      </c>
      <c r="F65" s="8">
        <f>SUM(B65,D65)</f>
        <v>0</v>
      </c>
    </row>
    <row r="66" spans="1:8" x14ac:dyDescent="0.3">
      <c r="A66" s="4" t="s">
        <v>35</v>
      </c>
      <c r="B66" s="9">
        <f>SUM(B56:B64)</f>
        <v>255500.46</v>
      </c>
      <c r="D66" s="9">
        <f>SUM(D56:D64)</f>
        <v>8105.17</v>
      </c>
      <c r="F66" s="9">
        <f>SUM(B66,D66)</f>
        <v>263605.63</v>
      </c>
    </row>
    <row r="67" spans="1:8" x14ac:dyDescent="0.3">
      <c r="A67" s="4" t="s">
        <v>36</v>
      </c>
      <c r="B67" s="9">
        <f>SUM(B54,B66)</f>
        <v>255500.46</v>
      </c>
      <c r="D67" s="9">
        <f>SUM(D54,D66)</f>
        <v>11779.71</v>
      </c>
      <c r="F67" s="9">
        <f>SUM(B67,D67)</f>
        <v>267280.17</v>
      </c>
    </row>
    <row r="68" spans="1:8" x14ac:dyDescent="0.3">
      <c r="A68" s="2" t="s">
        <v>37</v>
      </c>
      <c r="B68" s="10"/>
      <c r="D68" s="11"/>
      <c r="F68" s="11"/>
    </row>
    <row r="69" spans="1:8" x14ac:dyDescent="0.3">
      <c r="A69" s="2" t="s">
        <v>74</v>
      </c>
      <c r="B69" s="8">
        <v>51793</v>
      </c>
      <c r="D69" s="8"/>
      <c r="F69" s="8">
        <f>SUM(B69,D69)</f>
        <v>51793</v>
      </c>
    </row>
    <row r="70" spans="1:8" x14ac:dyDescent="0.3">
      <c r="A70" s="2" t="s">
        <v>75</v>
      </c>
      <c r="B70" s="8">
        <f>10604585.32-2569166.26</f>
        <v>8035419.0600000005</v>
      </c>
      <c r="D70" s="8"/>
      <c r="F70" s="8">
        <f>SUM(B70,D70)</f>
        <v>8035419.0600000005</v>
      </c>
      <c r="H70" s="3"/>
    </row>
    <row r="71" spans="1:8" x14ac:dyDescent="0.3">
      <c r="A71" s="2" t="s">
        <v>76</v>
      </c>
      <c r="B71" s="8">
        <v>15996998</v>
      </c>
      <c r="D71" s="8">
        <v>0</v>
      </c>
      <c r="F71" s="8">
        <f>SUM(B71,D71)</f>
        <v>15996998</v>
      </c>
    </row>
    <row r="72" spans="1:8" x14ac:dyDescent="0.3">
      <c r="A72" s="4" t="s">
        <v>38</v>
      </c>
      <c r="B72" s="9">
        <f>SUM(B70:B71)</f>
        <v>24032417.060000002</v>
      </c>
      <c r="D72" s="9">
        <f>SUM(D70:D71)</f>
        <v>0</v>
      </c>
      <c r="F72" s="9">
        <f>SUM(F70:F71)</f>
        <v>24032417.060000002</v>
      </c>
    </row>
    <row r="73" spans="1:8" x14ac:dyDescent="0.3">
      <c r="A73" s="4" t="s">
        <v>39</v>
      </c>
      <c r="B73" s="9">
        <f>SUM(B69,B72)</f>
        <v>24084210.060000002</v>
      </c>
      <c r="D73" s="9">
        <f>SUM(D69,D72)</f>
        <v>0</v>
      </c>
      <c r="F73" s="12">
        <f>SUM(B73,D73)</f>
        <v>24084210.060000002</v>
      </c>
    </row>
    <row r="74" spans="1:8" x14ac:dyDescent="0.3">
      <c r="A74" s="4" t="s">
        <v>40</v>
      </c>
      <c r="B74" s="9">
        <f>SUM(B67,B73)</f>
        <v>24339710.520000003</v>
      </c>
      <c r="D74" s="9">
        <f>SUM(D67,D73)</f>
        <v>11779.71</v>
      </c>
      <c r="F74" s="9">
        <f>SUM(B74,D74)</f>
        <v>24351490.230000004</v>
      </c>
    </row>
    <row r="75" spans="1:8" x14ac:dyDescent="0.3">
      <c r="A75" s="2" t="s">
        <v>41</v>
      </c>
      <c r="B75" s="10"/>
      <c r="D75" s="11"/>
      <c r="F75" s="11"/>
    </row>
    <row r="76" spans="1:8" x14ac:dyDescent="0.3">
      <c r="A76" s="2" t="s">
        <v>77</v>
      </c>
      <c r="B76" s="8">
        <v>352412</v>
      </c>
      <c r="D76" s="8"/>
      <c r="F76" s="8">
        <f>SUM(B76,D76)</f>
        <v>352412</v>
      </c>
    </row>
    <row r="77" spans="1:8" x14ac:dyDescent="0.3">
      <c r="A77" s="2" t="s">
        <v>78</v>
      </c>
      <c r="B77" s="8">
        <v>13141571</v>
      </c>
      <c r="D77" s="8"/>
      <c r="F77" s="8">
        <f>SUM(B77,D77)</f>
        <v>13141571</v>
      </c>
    </row>
    <row r="78" spans="1:8" x14ac:dyDescent="0.3">
      <c r="A78" s="2" t="s">
        <v>79</v>
      </c>
      <c r="B78" s="8">
        <v>0</v>
      </c>
      <c r="D78" s="8"/>
      <c r="F78" s="8">
        <f t="shared" ref="F78:F79" si="3">SUM(B78,D78)</f>
        <v>0</v>
      </c>
    </row>
    <row r="79" spans="1:8" x14ac:dyDescent="0.3">
      <c r="A79" s="2" t="s">
        <v>42</v>
      </c>
      <c r="B79" s="8">
        <v>-149770.44</v>
      </c>
      <c r="D79" s="8">
        <v>372097.57</v>
      </c>
      <c r="F79" s="8">
        <f t="shared" si="3"/>
        <v>222327.13</v>
      </c>
    </row>
    <row r="80" spans="1:8" x14ac:dyDescent="0.3">
      <c r="A80" s="2" t="s">
        <v>43</v>
      </c>
      <c r="B80" s="8">
        <f>'P&amp;L Capital'!D91</f>
        <v>-7529803.3300000029</v>
      </c>
      <c r="D80" s="8">
        <f>'P&amp;L General Fund'!D73</f>
        <v>293294.46999999997</v>
      </c>
      <c r="F80" s="8">
        <f>SUM(B80,D80)</f>
        <v>-7236508.8600000031</v>
      </c>
    </row>
    <row r="81" spans="1:6" x14ac:dyDescent="0.3">
      <c r="A81" s="4" t="s">
        <v>44</v>
      </c>
      <c r="B81" s="9">
        <f>SUM(B76:B80)</f>
        <v>5814409.2299999977</v>
      </c>
      <c r="D81" s="9">
        <f>SUM(D76:D80)</f>
        <v>665392.04</v>
      </c>
      <c r="F81" s="9">
        <f>SUM(B81,D81)</f>
        <v>6479801.2699999977</v>
      </c>
    </row>
    <row r="82" spans="1:6" x14ac:dyDescent="0.3">
      <c r="A82" s="4" t="s">
        <v>45</v>
      </c>
      <c r="B82" s="9">
        <f>SUM(B74,B81)</f>
        <v>30154119.75</v>
      </c>
      <c r="D82" s="9">
        <f>SUM(D74,D81)</f>
        <v>677171.75</v>
      </c>
      <c r="F82" s="9">
        <f>SUM(B82,D82)</f>
        <v>30831291.5</v>
      </c>
    </row>
    <row r="83" spans="1:6" x14ac:dyDescent="0.3">
      <c r="A83"/>
      <c r="B83" s="10"/>
      <c r="D83" s="10"/>
      <c r="F83" s="10"/>
    </row>
    <row r="84" spans="1:6" x14ac:dyDescent="0.3">
      <c r="A84" t="s">
        <v>46</v>
      </c>
      <c r="B84" s="8">
        <f>B48-B82</f>
        <v>0</v>
      </c>
      <c r="C84" s="3"/>
      <c r="D84" s="8">
        <f>D48-D82</f>
        <v>0</v>
      </c>
      <c r="E84" s="3"/>
      <c r="F84" s="8">
        <f>F48-F82</f>
        <v>0</v>
      </c>
    </row>
    <row r="85" spans="1:6" x14ac:dyDescent="0.3">
      <c r="A85"/>
      <c r="B85" s="10">
        <f>B80-'P&amp;L Capital'!D91</f>
        <v>0</v>
      </c>
      <c r="D85" s="10">
        <f>D80-'P&amp;L General Fund'!D73</f>
        <v>0</v>
      </c>
      <c r="F85" s="10"/>
    </row>
    <row r="86" spans="1:6" x14ac:dyDescent="0.3">
      <c r="A86" s="36"/>
      <c r="B86" s="10">
        <f>'Budget vs Actual Capital'!C99-'P&amp;L Capital'!D91</f>
        <v>0</v>
      </c>
      <c r="D86" s="10">
        <f>'P&amp;L General Fund'!D73-'Budget Vs Actual General'!C86</f>
        <v>0</v>
      </c>
    </row>
    <row r="87" spans="1:6" x14ac:dyDescent="0.3">
      <c r="A87" s="7"/>
      <c r="B87"/>
    </row>
    <row r="88" spans="1:6" x14ac:dyDescent="0.3">
      <c r="A88" s="7"/>
      <c r="B88"/>
    </row>
    <row r="89" spans="1:6" x14ac:dyDescent="0.3">
      <c r="A89" s="7"/>
      <c r="B89"/>
    </row>
  </sheetData>
  <mergeCells count="3">
    <mergeCell ref="A2:B2"/>
    <mergeCell ref="A1:F1"/>
    <mergeCell ref="A3:F3"/>
  </mergeCells>
  <pageMargins left="0.7" right="0.7" top="0.75" bottom="0.75" header="0.3" footer="0.3"/>
  <pageSetup scale="85" fitToHeight="3" orientation="portrait" r:id="rId1"/>
  <headerFooter>
    <oddFooter>&amp;CFor Internal Use Only- Unaudited Subject to Change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3A8A-49A2-408D-B141-B587EB3C5D3D}">
  <sheetPr>
    <pageSetUpPr fitToPage="1"/>
  </sheetPr>
  <dimension ref="A1:H19"/>
  <sheetViews>
    <sheetView topLeftCell="A7" workbookViewId="0">
      <selection activeCell="H11" sqref="H11"/>
    </sheetView>
  </sheetViews>
  <sheetFormatPr defaultColWidth="11.296875" defaultRowHeight="15.6" x14ac:dyDescent="0.3"/>
  <cols>
    <col min="1" max="1" width="45.3984375" style="14" customWidth="1"/>
    <col min="2" max="2" width="15.19921875" style="14" customWidth="1"/>
    <col min="3" max="3" width="9.796875" style="14" customWidth="1"/>
    <col min="4" max="4" width="10.296875" style="14" customWidth="1"/>
    <col min="5" max="5" width="7.5" style="14" customWidth="1"/>
    <col min="6" max="6" width="10.09765625" style="14" customWidth="1"/>
    <col min="7" max="7" width="9.19921875" style="14" customWidth="1"/>
    <col min="8" max="8" width="22.796875" style="13" customWidth="1"/>
    <col min="9" max="16384" width="11.296875" style="13"/>
  </cols>
  <sheetData>
    <row r="1" spans="1:8" x14ac:dyDescent="0.3">
      <c r="A1" s="68" t="s">
        <v>60</v>
      </c>
      <c r="B1" s="42"/>
      <c r="C1" s="42"/>
      <c r="D1" s="42"/>
      <c r="E1" s="42"/>
      <c r="F1" s="42"/>
      <c r="G1" s="42"/>
    </row>
    <row r="2" spans="1:8" x14ac:dyDescent="0.3">
      <c r="A2" s="69" t="s">
        <v>59</v>
      </c>
      <c r="B2" s="42"/>
      <c r="C2" s="42"/>
      <c r="D2" s="42"/>
      <c r="E2" s="42"/>
      <c r="F2" s="42"/>
      <c r="G2" s="42"/>
    </row>
    <row r="3" spans="1:8" x14ac:dyDescent="0.3">
      <c r="A3" s="70" t="s">
        <v>242</v>
      </c>
      <c r="B3" s="42"/>
      <c r="C3" s="42"/>
      <c r="D3" s="42"/>
      <c r="E3" s="42"/>
      <c r="F3" s="42"/>
      <c r="G3" s="42"/>
    </row>
    <row r="4" spans="1:8" x14ac:dyDescent="0.3">
      <c r="A4" s="1"/>
      <c r="B4" s="1"/>
      <c r="C4" s="1"/>
      <c r="D4" s="1"/>
      <c r="E4" s="1"/>
      <c r="F4" s="1"/>
      <c r="G4" s="1"/>
    </row>
    <row r="5" spans="1:8" ht="24.6" x14ac:dyDescent="0.3">
      <c r="A5" s="56" t="s">
        <v>58</v>
      </c>
      <c r="B5" s="56" t="s">
        <v>57</v>
      </c>
      <c r="C5" s="56" t="s">
        <v>56</v>
      </c>
      <c r="D5" s="56" t="s">
        <v>55</v>
      </c>
      <c r="E5" s="56" t="s">
        <v>54</v>
      </c>
      <c r="F5" s="56" t="s">
        <v>53</v>
      </c>
      <c r="G5" s="56" t="s">
        <v>52</v>
      </c>
    </row>
    <row r="6" spans="1:8" x14ac:dyDescent="0.3">
      <c r="A6" s="71" t="s">
        <v>248</v>
      </c>
      <c r="B6" s="72"/>
      <c r="C6" s="72"/>
      <c r="D6" s="72"/>
      <c r="E6" s="72"/>
      <c r="F6" s="72"/>
      <c r="G6" s="72"/>
    </row>
    <row r="7" spans="1:8" x14ac:dyDescent="0.3">
      <c r="A7" s="73" t="s">
        <v>249</v>
      </c>
      <c r="B7" s="72"/>
      <c r="C7" s="74">
        <v>240875.93</v>
      </c>
      <c r="D7" s="72"/>
      <c r="E7" s="72"/>
      <c r="F7" s="72"/>
      <c r="G7" s="74">
        <f>B7+C7+D7+E7+F7</f>
        <v>240875.93</v>
      </c>
    </row>
    <row r="8" spans="1:8" x14ac:dyDescent="0.3">
      <c r="A8" s="75" t="s">
        <v>250</v>
      </c>
      <c r="B8" s="76">
        <f>B6+B7</f>
        <v>0</v>
      </c>
      <c r="C8" s="77">
        <f>C6+C7</f>
        <v>240875.93</v>
      </c>
      <c r="D8" s="76">
        <f>D6+D7</f>
        <v>0</v>
      </c>
      <c r="E8" s="76">
        <f>E6+E7</f>
        <v>0</v>
      </c>
      <c r="F8" s="76">
        <f>F6+F7</f>
        <v>0</v>
      </c>
      <c r="G8" s="76">
        <f>B8+C8+D8+E8+F8</f>
        <v>240875.93</v>
      </c>
    </row>
    <row r="9" spans="1:8" x14ac:dyDescent="0.3">
      <c r="A9" s="71" t="s">
        <v>51</v>
      </c>
      <c r="B9" s="72"/>
      <c r="C9" s="72"/>
      <c r="D9" s="72"/>
      <c r="E9" s="72"/>
      <c r="F9" s="72"/>
      <c r="G9" s="72"/>
    </row>
    <row r="10" spans="1:8" x14ac:dyDescent="0.3">
      <c r="A10" s="73" t="s">
        <v>50</v>
      </c>
      <c r="B10" s="72"/>
      <c r="C10" s="72"/>
      <c r="D10" s="74">
        <v>3186742.49</v>
      </c>
      <c r="E10" s="72"/>
      <c r="F10" s="72"/>
      <c r="G10" s="74">
        <f>B10+C10+D10+E10+F10</f>
        <v>3186742.49</v>
      </c>
    </row>
    <row r="11" spans="1:8" ht="46.8" x14ac:dyDescent="0.3">
      <c r="A11" s="75" t="s">
        <v>49</v>
      </c>
      <c r="B11" s="76">
        <f>B9+B10</f>
        <v>0</v>
      </c>
      <c r="C11" s="76">
        <f>C9+C10</f>
        <v>0</v>
      </c>
      <c r="D11" s="77">
        <f>D9+D10</f>
        <v>3186742.49</v>
      </c>
      <c r="E11" s="76">
        <f>E9+E10</f>
        <v>0</v>
      </c>
      <c r="F11" s="76">
        <f>F9+F10</f>
        <v>0</v>
      </c>
      <c r="G11" s="76">
        <f>B11+C11+D11+E11+F11</f>
        <v>3186742.49</v>
      </c>
      <c r="H11" s="79" t="s">
        <v>212</v>
      </c>
    </row>
    <row r="12" spans="1:8" x14ac:dyDescent="0.3">
      <c r="A12" s="71" t="s">
        <v>48</v>
      </c>
      <c r="B12" s="72"/>
      <c r="C12" s="72"/>
      <c r="D12" s="72"/>
      <c r="E12" s="72"/>
      <c r="F12" s="72"/>
      <c r="G12" s="72"/>
    </row>
    <row r="13" spans="1:8" x14ac:dyDescent="0.3">
      <c r="A13" s="73" t="s">
        <v>251</v>
      </c>
      <c r="B13" s="74">
        <v>3004635.4</v>
      </c>
      <c r="C13" s="72"/>
      <c r="D13" s="72"/>
      <c r="E13" s="72"/>
      <c r="F13" s="72"/>
      <c r="G13" s="74">
        <f>B13+C13+D13+E13+F13</f>
        <v>3004635.4</v>
      </c>
    </row>
    <row r="14" spans="1:8" x14ac:dyDescent="0.3">
      <c r="A14" s="75" t="s">
        <v>252</v>
      </c>
      <c r="B14" s="77">
        <f>B12+B13</f>
        <v>3004635.4</v>
      </c>
      <c r="C14" s="76">
        <f>C12+C13</f>
        <v>0</v>
      </c>
      <c r="D14" s="76">
        <f>D12+D13</f>
        <v>0</v>
      </c>
      <c r="E14" s="76">
        <f>E12+E13</f>
        <v>0</v>
      </c>
      <c r="F14" s="76">
        <f>F12+F13</f>
        <v>0</v>
      </c>
      <c r="G14" s="76">
        <f>B14+C14+D14+E14+F14</f>
        <v>3004635.4</v>
      </c>
      <c r="H14" s="29"/>
    </row>
    <row r="15" spans="1:8" x14ac:dyDescent="0.3">
      <c r="A15" s="78" t="s">
        <v>47</v>
      </c>
      <c r="B15" s="77">
        <f>B8+B11+B14</f>
        <v>3004635.4</v>
      </c>
      <c r="C15" s="77">
        <f>C8+C11+C14</f>
        <v>240875.93</v>
      </c>
      <c r="D15" s="77">
        <f>D8+D11+D14</f>
        <v>3186742.49</v>
      </c>
      <c r="E15" s="76">
        <f>E8+E11+E14</f>
        <v>0</v>
      </c>
      <c r="F15" s="76">
        <f>F8+F11+F14</f>
        <v>0</v>
      </c>
      <c r="G15" s="76">
        <f>B15+C15+D15+E15+F15</f>
        <v>6432253.8200000003</v>
      </c>
    </row>
    <row r="16" spans="1:8" x14ac:dyDescent="0.3">
      <c r="A16" s="67"/>
      <c r="B16" s="67"/>
      <c r="C16" s="67"/>
      <c r="D16" s="67"/>
      <c r="E16" s="67"/>
      <c r="F16" s="67"/>
      <c r="G16" s="67"/>
    </row>
    <row r="19" spans="1:7" x14ac:dyDescent="0.3">
      <c r="A19" s="39"/>
      <c r="B19" s="38"/>
      <c r="C19" s="38"/>
      <c r="D19" s="38"/>
      <c r="E19" s="38"/>
      <c r="F19" s="38"/>
      <c r="G19" s="38"/>
    </row>
  </sheetData>
  <mergeCells count="4">
    <mergeCell ref="A1:G1"/>
    <mergeCell ref="A2:G2"/>
    <mergeCell ref="A3:G3"/>
    <mergeCell ref="A19:G19"/>
  </mergeCells>
  <pageMargins left="0.7" right="0.7" top="0.75" bottom="0.75" header="0.3" footer="0.3"/>
  <pageSetup scale="86" orientation="landscape" r:id="rId1"/>
  <headerFooter>
    <oddFooter>&amp;CFor Internal Use Only- Unaudited Subject to Change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8933-1895-472B-B1D6-36B3CDA97F6D}">
  <dimension ref="B1:D95"/>
  <sheetViews>
    <sheetView workbookViewId="0">
      <selection activeCell="B32" sqref="B32:C34"/>
    </sheetView>
  </sheetViews>
  <sheetFormatPr defaultColWidth="11.296875" defaultRowHeight="15.6" x14ac:dyDescent="0.3"/>
  <cols>
    <col min="1" max="1" width="6" style="13" customWidth="1"/>
    <col min="2" max="2" width="48.69921875" style="14" customWidth="1"/>
    <col min="3" max="3" width="11.8984375" style="14" customWidth="1"/>
    <col min="4" max="4" width="14.3984375" style="14" customWidth="1"/>
    <col min="5" max="16384" width="11.296875" style="13"/>
  </cols>
  <sheetData>
    <row r="1" spans="2:4" x14ac:dyDescent="0.3">
      <c r="B1" s="40" t="s">
        <v>60</v>
      </c>
      <c r="C1" s="38"/>
      <c r="D1" s="38"/>
    </row>
    <row r="2" spans="2:4" x14ac:dyDescent="0.3">
      <c r="B2" s="45" t="s">
        <v>215</v>
      </c>
      <c r="C2" s="38"/>
      <c r="D2" s="38"/>
    </row>
    <row r="3" spans="2:4" x14ac:dyDescent="0.3">
      <c r="B3" s="37"/>
      <c r="C3" s="38"/>
      <c r="D3" s="38"/>
    </row>
    <row r="5" spans="2:4" x14ac:dyDescent="0.3">
      <c r="B5" s="22" t="s">
        <v>58</v>
      </c>
      <c r="C5" s="46" t="s">
        <v>52</v>
      </c>
      <c r="D5" s="46"/>
    </row>
    <row r="6" spans="2:4" ht="32.4" customHeight="1" x14ac:dyDescent="0.3">
      <c r="C6" s="52">
        <v>46235</v>
      </c>
      <c r="D6" s="22" t="s">
        <v>246</v>
      </c>
    </row>
    <row r="7" spans="2:4" x14ac:dyDescent="0.3">
      <c r="B7" s="19" t="s">
        <v>156</v>
      </c>
    </row>
    <row r="8" spans="2:4" x14ac:dyDescent="0.3">
      <c r="B8" s="21" t="s">
        <v>211</v>
      </c>
      <c r="C8" s="18"/>
      <c r="D8" s="18"/>
    </row>
    <row r="9" spans="2:4" x14ac:dyDescent="0.3">
      <c r="B9" s="25" t="s">
        <v>210</v>
      </c>
      <c r="C9" s="18"/>
      <c r="D9" s="17">
        <v>852276.75</v>
      </c>
    </row>
    <row r="10" spans="2:4" x14ac:dyDescent="0.3">
      <c r="B10" s="24" t="s">
        <v>209</v>
      </c>
      <c r="C10" s="16">
        <f>C8+C9</f>
        <v>0</v>
      </c>
      <c r="D10" s="15">
        <f>D8+D9</f>
        <v>852276.75</v>
      </c>
    </row>
    <row r="11" spans="2:4" x14ac:dyDescent="0.3">
      <c r="B11" s="21" t="s">
        <v>152</v>
      </c>
      <c r="C11" s="17">
        <v>31207.71</v>
      </c>
      <c r="D11" s="17">
        <v>508405.71</v>
      </c>
    </row>
    <row r="12" spans="2:4" x14ac:dyDescent="0.3">
      <c r="B12" s="21" t="s">
        <v>208</v>
      </c>
      <c r="C12" s="18"/>
      <c r="D12" s="17">
        <v>23.08</v>
      </c>
    </row>
    <row r="13" spans="2:4" x14ac:dyDescent="0.3">
      <c r="B13" s="21" t="s">
        <v>207</v>
      </c>
      <c r="C13" s="18"/>
      <c r="D13" s="18"/>
    </row>
    <row r="14" spans="2:4" x14ac:dyDescent="0.3">
      <c r="B14" s="25" t="s">
        <v>206</v>
      </c>
      <c r="C14" s="17"/>
      <c r="D14" s="17">
        <v>3509912.56</v>
      </c>
    </row>
    <row r="15" spans="2:4" x14ac:dyDescent="0.3">
      <c r="B15" s="25" t="s">
        <v>205</v>
      </c>
      <c r="C15" s="17">
        <f>-372413.36</f>
        <v>-372413.36</v>
      </c>
      <c r="D15" s="17">
        <v>11127482.68</v>
      </c>
    </row>
    <row r="16" spans="2:4" x14ac:dyDescent="0.3">
      <c r="B16" s="25" t="s">
        <v>204</v>
      </c>
      <c r="C16" s="18"/>
      <c r="D16" s="17">
        <v>885170.28</v>
      </c>
    </row>
    <row r="17" spans="2:4" x14ac:dyDescent="0.3">
      <c r="B17" s="24" t="s">
        <v>203</v>
      </c>
      <c r="C17" s="15">
        <f>C13+C14+C15+C16</f>
        <v>-372413.36</v>
      </c>
      <c r="D17" s="15">
        <f>D13+D14+D15+D16</f>
        <v>15522565.52</v>
      </c>
    </row>
    <row r="18" spans="2:4" x14ac:dyDescent="0.3">
      <c r="B18" s="21" t="s">
        <v>202</v>
      </c>
      <c r="C18" s="18"/>
      <c r="D18" s="18"/>
    </row>
    <row r="19" spans="2:4" x14ac:dyDescent="0.3">
      <c r="B19" s="25" t="s">
        <v>201</v>
      </c>
      <c r="C19" s="17">
        <v>45864.5</v>
      </c>
      <c r="D19" s="17">
        <v>517631.25</v>
      </c>
    </row>
    <row r="20" spans="2:4" x14ac:dyDescent="0.3">
      <c r="B20" s="24" t="s">
        <v>200</v>
      </c>
      <c r="C20" s="15">
        <f>C18+C19</f>
        <v>45864.5</v>
      </c>
      <c r="D20" s="15">
        <f>D18+D19</f>
        <v>517631.25</v>
      </c>
    </row>
    <row r="21" spans="2:4" x14ac:dyDescent="0.3">
      <c r="B21" s="20" t="s">
        <v>147</v>
      </c>
      <c r="C21" s="15">
        <f>C7+C10+C11+C12+C17+C20</f>
        <v>-295341.14999999997</v>
      </c>
      <c r="D21" s="15">
        <f>D7+D10+D11+D12+D17+D20</f>
        <v>17400902.309999999</v>
      </c>
    </row>
    <row r="22" spans="2:4" x14ac:dyDescent="0.3">
      <c r="B22" s="20" t="s">
        <v>146</v>
      </c>
      <c r="C22" s="15">
        <f>C21-0</f>
        <v>-295341.14999999997</v>
      </c>
      <c r="D22" s="15">
        <f>D21-0</f>
        <v>17400902.309999999</v>
      </c>
    </row>
    <row r="23" spans="2:4" x14ac:dyDescent="0.3">
      <c r="B23" s="19" t="s">
        <v>145</v>
      </c>
    </row>
    <row r="24" spans="2:4" x14ac:dyDescent="0.3">
      <c r="B24" s="21" t="s">
        <v>144</v>
      </c>
      <c r="C24" s="18"/>
      <c r="D24" s="18"/>
    </row>
    <row r="25" spans="2:4" x14ac:dyDescent="0.3">
      <c r="B25" s="25" t="s">
        <v>143</v>
      </c>
      <c r="C25" s="17">
        <v>2048.8200000000002</v>
      </c>
      <c r="D25" s="17">
        <v>20795.61</v>
      </c>
    </row>
    <row r="26" spans="2:4" x14ac:dyDescent="0.3">
      <c r="B26" s="25" t="s">
        <v>142</v>
      </c>
      <c r="C26" s="17">
        <v>1083.0899999999999</v>
      </c>
      <c r="D26" s="17">
        <v>1849.49</v>
      </c>
    </row>
    <row r="27" spans="2:4" x14ac:dyDescent="0.3">
      <c r="B27" s="25" t="s">
        <v>140</v>
      </c>
      <c r="C27" s="18"/>
      <c r="D27" s="17">
        <v>-840.5</v>
      </c>
    </row>
    <row r="28" spans="2:4" x14ac:dyDescent="0.3">
      <c r="B28" s="25" t="s">
        <v>137</v>
      </c>
      <c r="C28" s="17">
        <v>1497.31</v>
      </c>
      <c r="D28" s="17">
        <v>16253.62</v>
      </c>
    </row>
    <row r="29" spans="2:4" x14ac:dyDescent="0.3">
      <c r="B29" s="25" t="s">
        <v>199</v>
      </c>
      <c r="C29" s="18"/>
      <c r="D29" s="27">
        <v>0</v>
      </c>
    </row>
    <row r="30" spans="2:4" x14ac:dyDescent="0.3">
      <c r="B30" s="25" t="s">
        <v>198</v>
      </c>
      <c r="C30" s="18"/>
      <c r="D30" s="17">
        <v>1175.08</v>
      </c>
    </row>
    <row r="31" spans="2:4" x14ac:dyDescent="0.3">
      <c r="B31" s="24" t="s">
        <v>130</v>
      </c>
      <c r="C31" s="15">
        <f>C24+C25+C26+C27+C28+C29+C30</f>
        <v>4629.2199999999993</v>
      </c>
      <c r="D31" s="15">
        <f>D24+D25+D26+D27+D28+D29+D30</f>
        <v>39233.300000000003</v>
      </c>
    </row>
    <row r="32" spans="2:4" x14ac:dyDescent="0.3">
      <c r="B32" s="57" t="s">
        <v>129</v>
      </c>
      <c r="C32" s="60"/>
      <c r="D32" s="60"/>
    </row>
    <row r="33" spans="2:4" x14ac:dyDescent="0.3">
      <c r="B33" s="58" t="s">
        <v>247</v>
      </c>
      <c r="C33" s="61">
        <v>140</v>
      </c>
      <c r="D33" s="61">
        <v>1290</v>
      </c>
    </row>
    <row r="34" spans="2:4" x14ac:dyDescent="0.3">
      <c r="B34" s="59" t="s">
        <v>119</v>
      </c>
      <c r="C34" s="62">
        <v>140</v>
      </c>
      <c r="D34" s="62">
        <v>1290</v>
      </c>
    </row>
    <row r="35" spans="2:4" x14ac:dyDescent="0.3">
      <c r="B35" s="21" t="s">
        <v>118</v>
      </c>
      <c r="C35" s="18"/>
      <c r="D35" s="18"/>
    </row>
    <row r="36" spans="2:4" x14ac:dyDescent="0.3">
      <c r="B36" s="25" t="s">
        <v>117</v>
      </c>
      <c r="C36" s="17">
        <v>12525.06</v>
      </c>
      <c r="D36" s="17">
        <v>180302.43</v>
      </c>
    </row>
    <row r="37" spans="2:4" x14ac:dyDescent="0.3">
      <c r="B37" s="25" t="s">
        <v>116</v>
      </c>
      <c r="C37" s="17">
        <v>930.61</v>
      </c>
      <c r="D37" s="17">
        <v>13380.28</v>
      </c>
    </row>
    <row r="38" spans="2:4" x14ac:dyDescent="0.3">
      <c r="B38" s="25" t="s">
        <v>115</v>
      </c>
      <c r="C38" s="17">
        <v>144.33000000000001</v>
      </c>
      <c r="D38" s="17">
        <v>3158.7</v>
      </c>
    </row>
    <row r="39" spans="2:4" x14ac:dyDescent="0.3">
      <c r="B39" s="25" t="s">
        <v>197</v>
      </c>
      <c r="C39" s="18"/>
      <c r="D39" s="17">
        <v>3108.24</v>
      </c>
    </row>
    <row r="40" spans="2:4" x14ac:dyDescent="0.3">
      <c r="B40" s="24" t="s">
        <v>113</v>
      </c>
      <c r="C40" s="15">
        <f>C35+C36+C37+C38+C39</f>
        <v>13600</v>
      </c>
      <c r="D40" s="15">
        <f>D35+D36+D37+D38+D39</f>
        <v>199949.65</v>
      </c>
    </row>
    <row r="41" spans="2:4" x14ac:dyDescent="0.3">
      <c r="B41" s="21" t="s">
        <v>196</v>
      </c>
      <c r="C41" s="18"/>
      <c r="D41" s="18"/>
    </row>
    <row r="42" spans="2:4" x14ac:dyDescent="0.3">
      <c r="B42" s="25" t="s">
        <v>108</v>
      </c>
      <c r="C42" s="18"/>
      <c r="D42" s="17">
        <v>718</v>
      </c>
    </row>
    <row r="43" spans="2:4" x14ac:dyDescent="0.3">
      <c r="B43" s="25" t="s">
        <v>107</v>
      </c>
      <c r="C43" s="18"/>
      <c r="D43" s="17">
        <v>1321.12</v>
      </c>
    </row>
    <row r="44" spans="2:4" x14ac:dyDescent="0.3">
      <c r="B44" s="24" t="s">
        <v>195</v>
      </c>
      <c r="C44" s="15">
        <f>C41+C42+C43</f>
        <v>0</v>
      </c>
      <c r="D44" s="15">
        <f>D41+D42+D43</f>
        <v>2039.12</v>
      </c>
    </row>
    <row r="45" spans="2:4" x14ac:dyDescent="0.3">
      <c r="B45" s="21" t="s">
        <v>105</v>
      </c>
      <c r="C45" s="18"/>
      <c r="D45" s="18"/>
    </row>
    <row r="46" spans="2:4" x14ac:dyDescent="0.3">
      <c r="B46" s="25" t="s">
        <v>104</v>
      </c>
      <c r="C46" s="17">
        <v>1181.25</v>
      </c>
      <c r="D46" s="17">
        <v>10640.13</v>
      </c>
    </row>
    <row r="47" spans="2:4" x14ac:dyDescent="0.3">
      <c r="B47" s="25" t="s">
        <v>103</v>
      </c>
      <c r="C47" s="18"/>
      <c r="D47" s="17">
        <v>15075</v>
      </c>
    </row>
    <row r="48" spans="2:4" x14ac:dyDescent="0.3">
      <c r="B48" s="25" t="s">
        <v>194</v>
      </c>
      <c r="C48" s="18"/>
      <c r="D48" s="17">
        <v>8378</v>
      </c>
    </row>
    <row r="49" spans="2:4" x14ac:dyDescent="0.3">
      <c r="B49" s="25" t="s">
        <v>193</v>
      </c>
      <c r="C49" s="17"/>
      <c r="D49" s="17">
        <v>431567.53</v>
      </c>
    </row>
    <row r="50" spans="2:4" x14ac:dyDescent="0.3">
      <c r="B50" s="25" t="s">
        <v>192</v>
      </c>
      <c r="C50" s="17">
        <v>6045</v>
      </c>
      <c r="D50" s="17">
        <v>66135</v>
      </c>
    </row>
    <row r="51" spans="2:4" x14ac:dyDescent="0.3">
      <c r="B51" s="25" t="s">
        <v>191</v>
      </c>
      <c r="C51" s="18"/>
      <c r="D51" s="27">
        <v>0</v>
      </c>
    </row>
    <row r="52" spans="2:4" x14ac:dyDescent="0.3">
      <c r="B52" s="28" t="s">
        <v>190</v>
      </c>
      <c r="C52" s="18"/>
      <c r="D52" s="17">
        <v>11760.35</v>
      </c>
    </row>
    <row r="53" spans="2:4" x14ac:dyDescent="0.3">
      <c r="B53" s="28" t="s">
        <v>189</v>
      </c>
      <c r="C53" s="18"/>
      <c r="D53" s="27">
        <v>0</v>
      </c>
    </row>
    <row r="54" spans="2:4" x14ac:dyDescent="0.3">
      <c r="B54" s="26" t="s">
        <v>188</v>
      </c>
      <c r="C54" s="15">
        <f>C51+C52+C53</f>
        <v>0</v>
      </c>
      <c r="D54" s="15">
        <f>D51+D52+D53</f>
        <v>11760.35</v>
      </c>
    </row>
    <row r="55" spans="2:4" x14ac:dyDescent="0.3">
      <c r="B55" s="25" t="s">
        <v>187</v>
      </c>
      <c r="C55" s="18"/>
      <c r="D55" s="17">
        <v>24000</v>
      </c>
    </row>
    <row r="56" spans="2:4" x14ac:dyDescent="0.3">
      <c r="B56" s="25" t="s">
        <v>186</v>
      </c>
      <c r="C56" s="18"/>
      <c r="D56" s="17">
        <v>10975.63</v>
      </c>
    </row>
    <row r="57" spans="2:4" x14ac:dyDescent="0.3">
      <c r="B57" s="24" t="s">
        <v>101</v>
      </c>
      <c r="C57" s="15">
        <f>C45+C46+C47+C48+C49+C50+C54+C55+C56</f>
        <v>7226.25</v>
      </c>
      <c r="D57" s="15">
        <f>D45+D46+D47+D48+D49+D50+D54+D55+D56</f>
        <v>578531.64</v>
      </c>
    </row>
    <row r="58" spans="2:4" x14ac:dyDescent="0.3">
      <c r="B58" s="21" t="s">
        <v>185</v>
      </c>
      <c r="C58" s="18"/>
      <c r="D58" s="18"/>
    </row>
    <row r="59" spans="2:4" x14ac:dyDescent="0.3">
      <c r="B59" s="25" t="s">
        <v>184</v>
      </c>
      <c r="C59" s="17">
        <v>319.83999999999997</v>
      </c>
      <c r="D59" s="50">
        <v>3649.1</v>
      </c>
    </row>
    <row r="60" spans="2:4" x14ac:dyDescent="0.3">
      <c r="B60" s="25" t="s">
        <v>183</v>
      </c>
      <c r="C60" s="17">
        <v>2269</v>
      </c>
      <c r="D60" s="50">
        <v>29900.13</v>
      </c>
    </row>
    <row r="61" spans="2:4" x14ac:dyDescent="0.3">
      <c r="B61" s="25" t="s">
        <v>182</v>
      </c>
      <c r="C61" s="18"/>
      <c r="D61" s="50">
        <v>8913.5</v>
      </c>
    </row>
    <row r="62" spans="2:4" x14ac:dyDescent="0.3">
      <c r="B62" s="25" t="s">
        <v>181</v>
      </c>
      <c r="C62" s="18">
        <v>298.23</v>
      </c>
      <c r="D62" s="50">
        <v>877.14</v>
      </c>
    </row>
    <row r="63" spans="2:4" x14ac:dyDescent="0.3">
      <c r="B63" s="25" t="s">
        <v>180</v>
      </c>
      <c r="C63" s="18"/>
      <c r="D63" s="50">
        <v>5564.41</v>
      </c>
    </row>
    <row r="64" spans="2:4" x14ac:dyDescent="0.3">
      <c r="B64" s="25" t="s">
        <v>179</v>
      </c>
      <c r="C64" s="17">
        <v>2642.5</v>
      </c>
      <c r="D64" s="50">
        <v>22892.74</v>
      </c>
    </row>
    <row r="65" spans="2:4" x14ac:dyDescent="0.3">
      <c r="B65" s="25" t="s">
        <v>178</v>
      </c>
      <c r="C65" s="17">
        <v>3432.21</v>
      </c>
      <c r="D65" s="50">
        <v>28918.080000000002</v>
      </c>
    </row>
    <row r="66" spans="2:4" x14ac:dyDescent="0.3">
      <c r="B66" s="25" t="s">
        <v>177</v>
      </c>
      <c r="C66" s="18"/>
      <c r="D66" s="50">
        <v>2975.62</v>
      </c>
    </row>
    <row r="67" spans="2:4" x14ac:dyDescent="0.3">
      <c r="B67" s="25" t="s">
        <v>176</v>
      </c>
      <c r="C67" s="17">
        <v>452.87</v>
      </c>
      <c r="D67" s="50">
        <v>808.94</v>
      </c>
    </row>
    <row r="68" spans="2:4" x14ac:dyDescent="0.3">
      <c r="B68" s="24" t="s">
        <v>175</v>
      </c>
      <c r="C68" s="15">
        <f>C58+C59+C60+C61+C62+C63+C64+C65+C66+C67</f>
        <v>9414.65</v>
      </c>
      <c r="D68" s="15">
        <f>D58+D59+D60+D61+D62+D63+D64+D65+D66+D67</f>
        <v>104499.66</v>
      </c>
    </row>
    <row r="69" spans="2:4" x14ac:dyDescent="0.3">
      <c r="B69" s="21" t="s">
        <v>174</v>
      </c>
      <c r="C69" s="18"/>
      <c r="D69" s="18"/>
    </row>
    <row r="70" spans="2:4" x14ac:dyDescent="0.3">
      <c r="B70" s="25" t="s">
        <v>173</v>
      </c>
      <c r="C70" s="18"/>
      <c r="D70" s="17">
        <v>244046</v>
      </c>
    </row>
    <row r="71" spans="2:4" x14ac:dyDescent="0.3">
      <c r="B71" s="25" t="s">
        <v>172</v>
      </c>
      <c r="C71" s="18"/>
      <c r="D71" s="17">
        <v>115500</v>
      </c>
    </row>
    <row r="72" spans="2:4" x14ac:dyDescent="0.3">
      <c r="B72" s="25" t="s">
        <v>171</v>
      </c>
      <c r="C72" s="18"/>
      <c r="D72" s="17">
        <v>91568</v>
      </c>
    </row>
    <row r="73" spans="2:4" x14ac:dyDescent="0.3">
      <c r="B73" s="25" t="s">
        <v>170</v>
      </c>
      <c r="C73" s="18"/>
      <c r="D73" s="17">
        <v>10020.959999999999</v>
      </c>
    </row>
    <row r="74" spans="2:4" x14ac:dyDescent="0.3">
      <c r="B74" s="25" t="s">
        <v>169</v>
      </c>
      <c r="C74" s="18"/>
      <c r="D74" s="17">
        <v>23497645.91</v>
      </c>
    </row>
    <row r="75" spans="2:4" x14ac:dyDescent="0.3">
      <c r="B75" s="25" t="s">
        <v>168</v>
      </c>
      <c r="C75" s="18"/>
      <c r="D75" s="17">
        <v>765.45</v>
      </c>
    </row>
    <row r="76" spans="2:4" x14ac:dyDescent="0.3">
      <c r="B76" s="24" t="s">
        <v>167</v>
      </c>
      <c r="C76" s="15">
        <f>C69+C70+C71+C72+C73+C74+C75</f>
        <v>0</v>
      </c>
      <c r="D76" s="15">
        <f>D69+D70+D71+D72+D73+D74+D75</f>
        <v>23959546.32</v>
      </c>
    </row>
    <row r="77" spans="2:4" x14ac:dyDescent="0.3">
      <c r="B77" s="20" t="s">
        <v>100</v>
      </c>
      <c r="C77" s="15">
        <f>C23+C31+C40+C44+C57+C68+C76+C34</f>
        <v>35010.120000000003</v>
      </c>
      <c r="D77" s="62">
        <f>D23+D31+D40+D44+D57+D68+D76+D34</f>
        <v>24885089.690000001</v>
      </c>
    </row>
    <row r="78" spans="2:4" x14ac:dyDescent="0.3">
      <c r="B78" s="20" t="s">
        <v>233</v>
      </c>
      <c r="C78" s="15">
        <f>C22-C77</f>
        <v>-330351.26999999996</v>
      </c>
      <c r="D78" s="15">
        <f>D22-D77</f>
        <v>-7484187.3800000027</v>
      </c>
    </row>
    <row r="79" spans="2:4" x14ac:dyDescent="0.3">
      <c r="B79" s="19" t="s">
        <v>166</v>
      </c>
    </row>
    <row r="80" spans="2:4" x14ac:dyDescent="0.3">
      <c r="B80" s="21" t="s">
        <v>165</v>
      </c>
      <c r="C80" s="18"/>
      <c r="D80" s="18"/>
    </row>
    <row r="81" spans="2:4" x14ac:dyDescent="0.3">
      <c r="B81" s="25" t="s">
        <v>164</v>
      </c>
      <c r="C81" s="17">
        <v>9327.25</v>
      </c>
      <c r="D81" s="17">
        <v>102599.75</v>
      </c>
    </row>
    <row r="82" spans="2:4" x14ac:dyDescent="0.3">
      <c r="B82" s="24" t="s">
        <v>163</v>
      </c>
      <c r="C82" s="15">
        <f>C80+C81</f>
        <v>9327.25</v>
      </c>
      <c r="D82" s="15">
        <f>D80+D81</f>
        <v>102599.75</v>
      </c>
    </row>
    <row r="83" spans="2:4" x14ac:dyDescent="0.3">
      <c r="B83" s="21" t="s">
        <v>162</v>
      </c>
      <c r="C83" s="17">
        <v>-1936.5</v>
      </c>
      <c r="D83" s="17">
        <v>-39263.49</v>
      </c>
    </row>
    <row r="84" spans="2:4" x14ac:dyDescent="0.3">
      <c r="B84" s="20" t="s">
        <v>161</v>
      </c>
      <c r="C84" s="15">
        <f>C79+C82+C83</f>
        <v>7390.75</v>
      </c>
      <c r="D84" s="15">
        <f>D79+D82+D83</f>
        <v>63336.26</v>
      </c>
    </row>
    <row r="85" spans="2:4" x14ac:dyDescent="0.3">
      <c r="B85" s="19" t="s">
        <v>99</v>
      </c>
    </row>
    <row r="86" spans="2:4" x14ac:dyDescent="0.3">
      <c r="B86" s="21" t="s">
        <v>160</v>
      </c>
      <c r="C86" s="18"/>
      <c r="D86" s="18"/>
    </row>
    <row r="87" spans="2:4" x14ac:dyDescent="0.3">
      <c r="B87" s="25" t="s">
        <v>159</v>
      </c>
      <c r="C87" s="18"/>
      <c r="D87" s="17">
        <v>108952.21</v>
      </c>
    </row>
    <row r="88" spans="2:4" x14ac:dyDescent="0.3">
      <c r="B88" s="24" t="s">
        <v>158</v>
      </c>
      <c r="C88" s="15">
        <f>C86+C87</f>
        <v>0</v>
      </c>
      <c r="D88" s="15">
        <f>D86+D87</f>
        <v>108952.21</v>
      </c>
    </row>
    <row r="89" spans="2:4" x14ac:dyDescent="0.3">
      <c r="B89" s="20" t="s">
        <v>95</v>
      </c>
      <c r="C89" s="15">
        <f>C85+C88</f>
        <v>0</v>
      </c>
      <c r="D89" s="15">
        <f>D85+D88</f>
        <v>108952.21</v>
      </c>
    </row>
    <row r="90" spans="2:4" x14ac:dyDescent="0.3">
      <c r="B90" s="20" t="s">
        <v>232</v>
      </c>
      <c r="C90" s="15">
        <f>C84-C89</f>
        <v>7390.75</v>
      </c>
      <c r="D90" s="15">
        <f>D84-D89</f>
        <v>-45615.950000000004</v>
      </c>
    </row>
    <row r="91" spans="2:4" x14ac:dyDescent="0.3">
      <c r="B91" s="20" t="s">
        <v>231</v>
      </c>
      <c r="C91" s="15">
        <f>C78+C90</f>
        <v>-322960.51999999996</v>
      </c>
      <c r="D91" s="15">
        <f>D78+D90</f>
        <v>-7529803.3300000029</v>
      </c>
    </row>
    <row r="95" spans="2:4" x14ac:dyDescent="0.3">
      <c r="B95" s="39"/>
      <c r="C95" s="38"/>
      <c r="D95" s="38"/>
    </row>
  </sheetData>
  <mergeCells count="5">
    <mergeCell ref="B1:D1"/>
    <mergeCell ref="B2:D2"/>
    <mergeCell ref="B3:D3"/>
    <mergeCell ref="B95:D95"/>
    <mergeCell ref="C5:D5"/>
  </mergeCells>
  <pageMargins left="0.7" right="0.7" top="0.75" bottom="0.75" header="0.3" footer="0.3"/>
  <pageSetup orientation="portrait" r:id="rId1"/>
  <headerFooter>
    <oddFooter>&amp;CFor Internal Use Only- Unaudited Subject to Change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8772-D317-445B-9F33-19447CA73126}">
  <dimension ref="B1:D77"/>
  <sheetViews>
    <sheetView workbookViewId="0">
      <selection activeCell="G11" sqref="G11"/>
    </sheetView>
  </sheetViews>
  <sheetFormatPr defaultColWidth="11.296875" defaultRowHeight="15.6" x14ac:dyDescent="0.3"/>
  <cols>
    <col min="1" max="1" width="11.296875" style="13"/>
    <col min="2" max="2" width="32.09765625" style="14" customWidth="1"/>
    <col min="3" max="3" width="16.09765625" style="14" customWidth="1"/>
    <col min="4" max="4" width="11" style="14" customWidth="1"/>
    <col min="5" max="16384" width="11.296875" style="13"/>
  </cols>
  <sheetData>
    <row r="1" spans="2:4" x14ac:dyDescent="0.3">
      <c r="B1" s="40" t="s">
        <v>157</v>
      </c>
      <c r="C1" s="38"/>
      <c r="D1" s="38"/>
    </row>
    <row r="2" spans="2:4" x14ac:dyDescent="0.3">
      <c r="B2" s="45" t="s">
        <v>215</v>
      </c>
      <c r="C2" s="38"/>
      <c r="D2" s="38"/>
    </row>
    <row r="3" spans="2:4" x14ac:dyDescent="0.3">
      <c r="B3" s="37"/>
      <c r="C3" s="38"/>
      <c r="D3" s="38"/>
    </row>
    <row r="4" spans="2:4" x14ac:dyDescent="0.3">
      <c r="B4" s="22" t="s">
        <v>58</v>
      </c>
      <c r="C4" s="46" t="s">
        <v>52</v>
      </c>
      <c r="D4" s="47"/>
    </row>
    <row r="5" spans="2:4" ht="41.4" customHeight="1" x14ac:dyDescent="0.3">
      <c r="C5" s="52">
        <f>'P&amp;L Capital'!C6</f>
        <v>46235</v>
      </c>
      <c r="D5" s="22" t="str">
        <f>'P&amp;L Capital'!D6</f>
        <v>Oct 1 2025 -August 31 2026 (YTD)</v>
      </c>
    </row>
    <row r="6" spans="2:4" x14ac:dyDescent="0.3">
      <c r="B6" s="19" t="s">
        <v>156</v>
      </c>
    </row>
    <row r="7" spans="2:4" x14ac:dyDescent="0.3">
      <c r="B7" s="21" t="s">
        <v>155</v>
      </c>
      <c r="C7" s="18"/>
      <c r="D7" s="18"/>
    </row>
    <row r="8" spans="2:4" x14ac:dyDescent="0.3">
      <c r="B8" s="25" t="s">
        <v>154</v>
      </c>
      <c r="C8" s="18"/>
      <c r="D8" s="17">
        <v>622407.68000000005</v>
      </c>
    </row>
    <row r="9" spans="2:4" x14ac:dyDescent="0.3">
      <c r="B9" s="24" t="s">
        <v>153</v>
      </c>
      <c r="C9" s="16">
        <f>C7+C8</f>
        <v>0</v>
      </c>
      <c r="D9" s="15">
        <f>D7+D8</f>
        <v>622407.68000000005</v>
      </c>
    </row>
    <row r="10" spans="2:4" x14ac:dyDescent="0.3">
      <c r="B10" s="21" t="s">
        <v>152</v>
      </c>
      <c r="C10" s="18">
        <v>1.1299999999999999</v>
      </c>
      <c r="D10" s="17">
        <v>631.49</v>
      </c>
    </row>
    <row r="11" spans="2:4" x14ac:dyDescent="0.3">
      <c r="B11" s="21" t="s">
        <v>151</v>
      </c>
      <c r="C11" s="18"/>
      <c r="D11" s="18"/>
    </row>
    <row r="12" spans="2:4" x14ac:dyDescent="0.3">
      <c r="B12" s="25" t="s">
        <v>150</v>
      </c>
      <c r="C12" s="17">
        <v>0</v>
      </c>
      <c r="D12" s="17">
        <v>8000</v>
      </c>
    </row>
    <row r="13" spans="2:4" x14ac:dyDescent="0.3">
      <c r="B13" s="25" t="s">
        <v>149</v>
      </c>
      <c r="C13" s="18"/>
      <c r="D13" s="17">
        <v>482.19</v>
      </c>
    </row>
    <row r="14" spans="2:4" x14ac:dyDescent="0.3">
      <c r="B14" s="24" t="s">
        <v>148</v>
      </c>
      <c r="C14" s="15">
        <f>C11+C12+C13</f>
        <v>0</v>
      </c>
      <c r="D14" s="15">
        <f>D11+D12+D13</f>
        <v>8482.19</v>
      </c>
    </row>
    <row r="15" spans="2:4" x14ac:dyDescent="0.3">
      <c r="B15" s="20" t="s">
        <v>147</v>
      </c>
      <c r="C15" s="15">
        <f>C6+C9+C10+C14</f>
        <v>1.1299999999999999</v>
      </c>
      <c r="D15" s="15">
        <f>D6+D9+D10+D14</f>
        <v>631521.36</v>
      </c>
    </row>
    <row r="16" spans="2:4" x14ac:dyDescent="0.3">
      <c r="B16" s="20" t="s">
        <v>146</v>
      </c>
      <c r="C16" s="15">
        <f>C15-0</f>
        <v>1.1299999999999999</v>
      </c>
      <c r="D16" s="15">
        <f>D15-0</f>
        <v>631521.36</v>
      </c>
    </row>
    <row r="17" spans="2:4" x14ac:dyDescent="0.3">
      <c r="B17" s="19" t="s">
        <v>145</v>
      </c>
    </row>
    <row r="18" spans="2:4" x14ac:dyDescent="0.3">
      <c r="B18" s="21" t="s">
        <v>144</v>
      </c>
      <c r="C18" s="18"/>
      <c r="D18" s="18"/>
    </row>
    <row r="19" spans="2:4" x14ac:dyDescent="0.3">
      <c r="B19" s="25" t="s">
        <v>143</v>
      </c>
      <c r="C19" s="18"/>
      <c r="D19" s="17">
        <v>57.75</v>
      </c>
    </row>
    <row r="20" spans="2:4" ht="21.6" x14ac:dyDescent="0.3">
      <c r="B20" s="25" t="s">
        <v>142</v>
      </c>
      <c r="C20" s="17">
        <v>1103.3900000000001</v>
      </c>
      <c r="D20" s="17">
        <v>5129.96</v>
      </c>
    </row>
    <row r="21" spans="2:4" x14ac:dyDescent="0.3">
      <c r="B21" s="25" t="s">
        <v>141</v>
      </c>
      <c r="C21" s="17">
        <v>147.09</v>
      </c>
      <c r="D21" s="17">
        <v>1457.79</v>
      </c>
    </row>
    <row r="22" spans="2:4" x14ac:dyDescent="0.3">
      <c r="B22" s="25" t="s">
        <v>140</v>
      </c>
      <c r="C22" s="18"/>
      <c r="D22" s="17">
        <v>11499.5</v>
      </c>
    </row>
    <row r="23" spans="2:4" x14ac:dyDescent="0.3">
      <c r="B23" s="25" t="s">
        <v>139</v>
      </c>
      <c r="C23" s="18"/>
      <c r="D23" s="17">
        <v>8575</v>
      </c>
    </row>
    <row r="24" spans="2:4" x14ac:dyDescent="0.3">
      <c r="B24" s="25" t="s">
        <v>138</v>
      </c>
      <c r="C24" s="17">
        <v>247.15</v>
      </c>
      <c r="D24" s="17">
        <v>3526.06</v>
      </c>
    </row>
    <row r="25" spans="2:4" x14ac:dyDescent="0.3">
      <c r="B25" s="25" t="s">
        <v>137</v>
      </c>
      <c r="C25" s="17">
        <v>1497.31</v>
      </c>
      <c r="D25" s="17">
        <v>16253.58</v>
      </c>
    </row>
    <row r="26" spans="2:4" x14ac:dyDescent="0.3">
      <c r="B26" s="25" t="s">
        <v>136</v>
      </c>
      <c r="C26" s="18"/>
      <c r="D26" s="17">
        <v>126.84</v>
      </c>
    </row>
    <row r="27" spans="2:4" x14ac:dyDescent="0.3">
      <c r="B27" s="25" t="s">
        <v>135</v>
      </c>
      <c r="C27" s="17">
        <v>313.02</v>
      </c>
      <c r="D27" s="17">
        <v>3776.62</v>
      </c>
    </row>
    <row r="28" spans="2:4" x14ac:dyDescent="0.3">
      <c r="B28" s="25" t="s">
        <v>134</v>
      </c>
      <c r="C28" s="18"/>
      <c r="D28" s="17">
        <v>3063.59</v>
      </c>
    </row>
    <row r="29" spans="2:4" x14ac:dyDescent="0.3">
      <c r="B29" s="25" t="s">
        <v>133</v>
      </c>
      <c r="C29" s="17">
        <v>445</v>
      </c>
      <c r="D29" s="17">
        <v>3850.5</v>
      </c>
    </row>
    <row r="30" spans="2:4" x14ac:dyDescent="0.3">
      <c r="B30" s="25" t="s">
        <v>214</v>
      </c>
      <c r="C30" s="17">
        <v>0</v>
      </c>
      <c r="D30" s="17">
        <v>115.95</v>
      </c>
    </row>
    <row r="31" spans="2:4" x14ac:dyDescent="0.3">
      <c r="B31" s="25" t="s">
        <v>132</v>
      </c>
      <c r="C31" s="18"/>
      <c r="D31" s="17">
        <v>768</v>
      </c>
    </row>
    <row r="32" spans="2:4" x14ac:dyDescent="0.3">
      <c r="B32" s="25" t="s">
        <v>131</v>
      </c>
      <c r="C32" s="18"/>
      <c r="D32" s="17">
        <v>101.54</v>
      </c>
    </row>
    <row r="33" spans="2:4" x14ac:dyDescent="0.3">
      <c r="B33" s="25" t="s">
        <v>199</v>
      </c>
      <c r="C33" s="18"/>
      <c r="D33" s="27">
        <v>0</v>
      </c>
    </row>
    <row r="34" spans="2:4" x14ac:dyDescent="0.3">
      <c r="B34" s="24" t="s">
        <v>130</v>
      </c>
      <c r="C34" s="15">
        <f>C18+C19+C20+C21+C22+C23+C24+C25+C26+C27+C28+C29+C30+C31+C32+C33</f>
        <v>3752.96</v>
      </c>
      <c r="D34" s="15">
        <f>D18+D19+D20+D21+D22+D23+D24+D25+D26+D27+D28+D29+D30+D31+D32+D33</f>
        <v>58302.68</v>
      </c>
    </row>
    <row r="35" spans="2:4" x14ac:dyDescent="0.3">
      <c r="B35" s="21" t="s">
        <v>129</v>
      </c>
      <c r="C35" s="18"/>
      <c r="D35" s="18"/>
    </row>
    <row r="36" spans="2:4" x14ac:dyDescent="0.3">
      <c r="B36" s="25" t="s">
        <v>128</v>
      </c>
      <c r="C36" s="17">
        <v>23.99</v>
      </c>
      <c r="D36" s="17">
        <v>743.69</v>
      </c>
    </row>
    <row r="37" spans="2:4" x14ac:dyDescent="0.3">
      <c r="B37" s="25" t="s">
        <v>127</v>
      </c>
      <c r="C37" s="17">
        <v>20</v>
      </c>
      <c r="D37" s="17">
        <v>371.51</v>
      </c>
    </row>
    <row r="38" spans="2:4" x14ac:dyDescent="0.3">
      <c r="B38" s="25" t="s">
        <v>244</v>
      </c>
      <c r="C38" s="17">
        <v>72</v>
      </c>
      <c r="D38" s="17">
        <v>72</v>
      </c>
    </row>
    <row r="39" spans="2:4" x14ac:dyDescent="0.3">
      <c r="B39" s="25" t="s">
        <v>126</v>
      </c>
      <c r="C39" s="18"/>
      <c r="D39" s="17">
        <v>960</v>
      </c>
    </row>
    <row r="40" spans="2:4" x14ac:dyDescent="0.3">
      <c r="B40" s="25" t="s">
        <v>125</v>
      </c>
      <c r="C40" s="18">
        <v>227.76</v>
      </c>
      <c r="D40" s="17">
        <v>2373.96</v>
      </c>
    </row>
    <row r="41" spans="2:4" x14ac:dyDescent="0.3">
      <c r="B41" s="25" t="s">
        <v>124</v>
      </c>
      <c r="C41" s="18"/>
      <c r="D41" s="17">
        <v>306.42</v>
      </c>
    </row>
    <row r="42" spans="2:4" x14ac:dyDescent="0.3">
      <c r="B42" s="25" t="s">
        <v>123</v>
      </c>
      <c r="C42" s="17">
        <v>299.32</v>
      </c>
      <c r="D42" s="17">
        <v>2913.97</v>
      </c>
    </row>
    <row r="43" spans="2:4" x14ac:dyDescent="0.3">
      <c r="B43" s="25" t="s">
        <v>122</v>
      </c>
      <c r="C43" s="17">
        <v>140</v>
      </c>
      <c r="D43" s="17">
        <v>1290</v>
      </c>
    </row>
    <row r="44" spans="2:4" x14ac:dyDescent="0.3">
      <c r="B44" s="25" t="s">
        <v>121</v>
      </c>
      <c r="C44" s="18"/>
      <c r="D44" s="17">
        <v>880</v>
      </c>
    </row>
    <row r="45" spans="2:4" x14ac:dyDescent="0.3">
      <c r="B45" s="25" t="s">
        <v>120</v>
      </c>
      <c r="C45" s="18">
        <v>169.9</v>
      </c>
      <c r="D45" s="17">
        <v>358.19</v>
      </c>
    </row>
    <row r="46" spans="2:4" ht="26.4" customHeight="1" x14ac:dyDescent="0.3">
      <c r="B46" s="24" t="s">
        <v>119</v>
      </c>
      <c r="C46" s="15">
        <f>C35+C36+C37+C39+C40+C41+C42+C43+C44+C45+C38</f>
        <v>952.96999999999991</v>
      </c>
      <c r="D46" s="15">
        <f>D35+D36+D37+D39+D40+D41+D42+D43+D44+D45+D38</f>
        <v>10269.74</v>
      </c>
    </row>
    <row r="47" spans="2:4" x14ac:dyDescent="0.3">
      <c r="B47" s="21" t="s">
        <v>118</v>
      </c>
      <c r="C47" s="18"/>
      <c r="D47" s="18"/>
    </row>
    <row r="48" spans="2:4" x14ac:dyDescent="0.3">
      <c r="B48" s="25" t="s">
        <v>117</v>
      </c>
      <c r="C48" s="17">
        <v>3433.23</v>
      </c>
      <c r="D48" s="17">
        <v>76562.649999999994</v>
      </c>
    </row>
    <row r="49" spans="2:4" x14ac:dyDescent="0.3">
      <c r="B49" s="25" t="s">
        <v>116</v>
      </c>
      <c r="C49" s="17">
        <v>290.19</v>
      </c>
      <c r="D49" s="17">
        <v>6542.94</v>
      </c>
    </row>
    <row r="50" spans="2:4" x14ac:dyDescent="0.3">
      <c r="B50" s="25" t="s">
        <v>115</v>
      </c>
      <c r="C50" s="17">
        <v>144.32</v>
      </c>
      <c r="D50" s="17">
        <v>3158.47</v>
      </c>
    </row>
    <row r="51" spans="2:4" ht="24" customHeight="1" x14ac:dyDescent="0.3">
      <c r="B51" s="25" t="s">
        <v>114</v>
      </c>
      <c r="C51" s="17">
        <v>719.96</v>
      </c>
      <c r="D51" s="17">
        <v>18325.810000000001</v>
      </c>
    </row>
    <row r="52" spans="2:4" x14ac:dyDescent="0.3">
      <c r="B52" s="24" t="s">
        <v>113</v>
      </c>
      <c r="C52" s="15">
        <f>C47+C48+C49+C50+C51</f>
        <v>4587.7000000000007</v>
      </c>
      <c r="D52" s="15">
        <f>D47+D48+D49+D50+D51</f>
        <v>104589.87</v>
      </c>
    </row>
    <row r="53" spans="2:4" ht="26.4" customHeight="1" x14ac:dyDescent="0.3">
      <c r="B53" s="21" t="s">
        <v>112</v>
      </c>
      <c r="C53" s="18"/>
      <c r="D53" s="18"/>
    </row>
    <row r="54" spans="2:4" x14ac:dyDescent="0.3">
      <c r="B54" s="25" t="s">
        <v>111</v>
      </c>
      <c r="C54" s="18"/>
      <c r="D54" s="17">
        <v>10486.87</v>
      </c>
    </row>
    <row r="55" spans="2:4" ht="24" customHeight="1" x14ac:dyDescent="0.3">
      <c r="B55" s="24" t="s">
        <v>110</v>
      </c>
      <c r="C55" s="15">
        <f>C53+C54</f>
        <v>0</v>
      </c>
      <c r="D55" s="15">
        <f>D53+D54</f>
        <v>10486.87</v>
      </c>
    </row>
    <row r="56" spans="2:4" x14ac:dyDescent="0.3">
      <c r="B56" s="21" t="s">
        <v>109</v>
      </c>
      <c r="C56" s="18"/>
      <c r="D56" s="18"/>
    </row>
    <row r="57" spans="2:4" x14ac:dyDescent="0.3">
      <c r="B57" s="25" t="s">
        <v>108</v>
      </c>
      <c r="C57" s="18"/>
      <c r="D57" s="17">
        <v>3749.7</v>
      </c>
    </row>
    <row r="58" spans="2:4" x14ac:dyDescent="0.3">
      <c r="B58" s="25" t="s">
        <v>107</v>
      </c>
      <c r="C58" s="18"/>
      <c r="D58" s="17">
        <v>11970.9</v>
      </c>
    </row>
    <row r="59" spans="2:4" ht="33" customHeight="1" x14ac:dyDescent="0.3">
      <c r="B59" s="24" t="s">
        <v>106</v>
      </c>
      <c r="C59" s="15">
        <f>C56+C57+C58</f>
        <v>0</v>
      </c>
      <c r="D59" s="15">
        <f>D56+D57+D58</f>
        <v>15720.599999999999</v>
      </c>
    </row>
    <row r="60" spans="2:4" x14ac:dyDescent="0.3">
      <c r="B60" s="21" t="s">
        <v>105</v>
      </c>
      <c r="C60" s="18"/>
      <c r="D60" s="18"/>
    </row>
    <row r="61" spans="2:4" x14ac:dyDescent="0.3">
      <c r="B61" s="25" t="s">
        <v>104</v>
      </c>
      <c r="C61" s="17">
        <v>1181.25</v>
      </c>
      <c r="D61" s="17">
        <v>10295.120000000001</v>
      </c>
    </row>
    <row r="62" spans="2:4" x14ac:dyDescent="0.3">
      <c r="B62" s="25" t="s">
        <v>103</v>
      </c>
      <c r="C62" s="18"/>
      <c r="D62" s="17">
        <v>9575</v>
      </c>
    </row>
    <row r="63" spans="2:4" x14ac:dyDescent="0.3">
      <c r="B63" s="25" t="s">
        <v>102</v>
      </c>
      <c r="C63" s="17">
        <v>0</v>
      </c>
      <c r="D63" s="17">
        <v>16387.259999999998</v>
      </c>
    </row>
    <row r="64" spans="2:4" x14ac:dyDescent="0.3">
      <c r="B64" s="24" t="s">
        <v>101</v>
      </c>
      <c r="C64" s="15">
        <f>C60+C61+C62+C63</f>
        <v>1181.25</v>
      </c>
      <c r="D64" s="15">
        <f>D60+D61+D62+D63</f>
        <v>36257.380000000005</v>
      </c>
    </row>
    <row r="65" spans="2:4" x14ac:dyDescent="0.3">
      <c r="B65" s="20" t="s">
        <v>100</v>
      </c>
      <c r="C65" s="15">
        <f>C17+C34+C46+C52+C55+C59+C64</f>
        <v>10474.880000000001</v>
      </c>
      <c r="D65" s="15">
        <f>D17+D34+D46+D52+D55+D59+D64</f>
        <v>235627.13999999998</v>
      </c>
    </row>
    <row r="66" spans="2:4" x14ac:dyDescent="0.3">
      <c r="B66" s="20" t="s">
        <v>233</v>
      </c>
      <c r="C66" s="15">
        <f>C16-C65</f>
        <v>-10473.750000000002</v>
      </c>
      <c r="D66" s="15">
        <f>D16-D65</f>
        <v>395894.22</v>
      </c>
    </row>
    <row r="67" spans="2:4" x14ac:dyDescent="0.3">
      <c r="B67" s="19" t="s">
        <v>99</v>
      </c>
    </row>
    <row r="68" spans="2:4" ht="26.4" customHeight="1" x14ac:dyDescent="0.3">
      <c r="B68" s="21" t="s">
        <v>98</v>
      </c>
      <c r="C68" s="18"/>
      <c r="D68" s="18"/>
    </row>
    <row r="69" spans="2:4" x14ac:dyDescent="0.3">
      <c r="B69" s="25" t="s">
        <v>97</v>
      </c>
      <c r="C69" s="17">
        <v>9327.25</v>
      </c>
      <c r="D69" s="17">
        <v>102599.75</v>
      </c>
    </row>
    <row r="70" spans="2:4" ht="28.8" customHeight="1" x14ac:dyDescent="0.3">
      <c r="B70" s="24" t="s">
        <v>96</v>
      </c>
      <c r="C70" s="15">
        <f>C68+C69</f>
        <v>9327.25</v>
      </c>
      <c r="D70" s="15">
        <f>D68+D69</f>
        <v>102599.75</v>
      </c>
    </row>
    <row r="71" spans="2:4" x14ac:dyDescent="0.3">
      <c r="B71" s="20" t="s">
        <v>95</v>
      </c>
      <c r="C71" s="15">
        <f>C67+C70</f>
        <v>9327.25</v>
      </c>
      <c r="D71" s="15">
        <f>D67+D70</f>
        <v>102599.75</v>
      </c>
    </row>
    <row r="72" spans="2:4" x14ac:dyDescent="0.3">
      <c r="B72" s="20" t="s">
        <v>232</v>
      </c>
      <c r="C72" s="15">
        <f>0-C71</f>
        <v>-9327.25</v>
      </c>
      <c r="D72" s="15">
        <f>0-D71</f>
        <v>-102599.75</v>
      </c>
    </row>
    <row r="73" spans="2:4" x14ac:dyDescent="0.3">
      <c r="B73" s="20" t="s">
        <v>231</v>
      </c>
      <c r="C73" s="15">
        <f>C66+C72</f>
        <v>-19801</v>
      </c>
      <c r="D73" s="15">
        <f>D66+D72</f>
        <v>293294.46999999997</v>
      </c>
    </row>
    <row r="77" spans="2:4" x14ac:dyDescent="0.3">
      <c r="B77" s="39"/>
      <c r="C77" s="38"/>
      <c r="D77" s="38"/>
    </row>
  </sheetData>
  <mergeCells count="5">
    <mergeCell ref="B1:D1"/>
    <mergeCell ref="B2:D2"/>
    <mergeCell ref="B3:D3"/>
    <mergeCell ref="C4:D4"/>
    <mergeCell ref="B77:D77"/>
  </mergeCells>
  <pageMargins left="0.25" right="0.25" top="0.75" bottom="0.75" header="0.3" footer="0.3"/>
  <pageSetup scale="95" fitToHeight="2" orientation="portrait" r:id="rId1"/>
  <headerFooter>
    <oddFooter>&amp;CFor Internal Use Only- Unaudited Subject to Change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A9F6-C785-463B-8DAB-01FEEF3ADB23}">
  <dimension ref="B1:F103"/>
  <sheetViews>
    <sheetView topLeftCell="A85" zoomScaleNormal="100" workbookViewId="0">
      <selection activeCell="E101" sqref="E101"/>
    </sheetView>
  </sheetViews>
  <sheetFormatPr defaultColWidth="11.296875" defaultRowHeight="15.6" x14ac:dyDescent="0.3"/>
  <cols>
    <col min="1" max="1" width="5" style="13" customWidth="1"/>
    <col min="2" max="2" width="37.19921875" style="14" customWidth="1"/>
    <col min="3" max="3" width="10" style="14" bestFit="1" customWidth="1"/>
    <col min="4" max="4" width="10.3984375" style="14" bestFit="1" customWidth="1"/>
    <col min="5" max="5" width="13.296875" style="14" customWidth="1"/>
    <col min="6" max="6" width="15.19921875" style="14" customWidth="1"/>
    <col min="7" max="16384" width="11.296875" style="13"/>
  </cols>
  <sheetData>
    <row r="1" spans="2:6" x14ac:dyDescent="0.3">
      <c r="B1" s="40" t="s">
        <v>230</v>
      </c>
      <c r="C1" s="38"/>
      <c r="D1" s="38"/>
      <c r="E1" s="38"/>
      <c r="F1" s="38"/>
    </row>
    <row r="2" spans="2:6" x14ac:dyDescent="0.3">
      <c r="B2" s="37" t="s">
        <v>245</v>
      </c>
      <c r="C2" s="38"/>
      <c r="D2" s="38"/>
      <c r="E2" s="38"/>
      <c r="F2" s="38"/>
    </row>
    <row r="4" spans="2:6" x14ac:dyDescent="0.3">
      <c r="B4" s="22" t="s">
        <v>58</v>
      </c>
      <c r="C4" s="35" t="s">
        <v>52</v>
      </c>
      <c r="D4" s="34"/>
      <c r="E4" s="34"/>
    </row>
    <row r="5" spans="2:6" x14ac:dyDescent="0.3">
      <c r="C5" s="22" t="s">
        <v>229</v>
      </c>
      <c r="D5" s="22" t="s">
        <v>228</v>
      </c>
      <c r="E5" s="22" t="s">
        <v>227</v>
      </c>
      <c r="F5" s="13"/>
    </row>
    <row r="6" spans="2:6" x14ac:dyDescent="0.3">
      <c r="B6" s="19" t="s">
        <v>156</v>
      </c>
      <c r="F6" s="13"/>
    </row>
    <row r="7" spans="2:6" x14ac:dyDescent="0.3">
      <c r="B7" s="21" t="s">
        <v>211</v>
      </c>
      <c r="C7" s="18"/>
      <c r="D7" s="18"/>
      <c r="E7" s="18"/>
      <c r="F7" s="13"/>
    </row>
    <row r="8" spans="2:6" x14ac:dyDescent="0.3">
      <c r="B8" s="25" t="s">
        <v>210</v>
      </c>
      <c r="C8" s="17">
        <f>'P&amp;L Capital'!D9</f>
        <v>852276.75</v>
      </c>
      <c r="D8" s="17">
        <v>873398</v>
      </c>
      <c r="E8" s="51">
        <f>C8-D8</f>
        <v>-21121.25</v>
      </c>
      <c r="F8" s="13"/>
    </row>
    <row r="9" spans="2:6" x14ac:dyDescent="0.3">
      <c r="B9" s="24" t="s">
        <v>209</v>
      </c>
      <c r="C9" s="15">
        <f>C7+C8</f>
        <v>852276.75</v>
      </c>
      <c r="D9" s="15">
        <f>D7+D8</f>
        <v>873398</v>
      </c>
      <c r="E9" s="63">
        <f>E7+E8</f>
        <v>-21121.25</v>
      </c>
      <c r="F9" s="13"/>
    </row>
    <row r="10" spans="2:6" x14ac:dyDescent="0.3">
      <c r="B10" s="21" t="s">
        <v>152</v>
      </c>
      <c r="C10" s="17">
        <f>'P&amp;L Capital'!D11</f>
        <v>508405.71</v>
      </c>
      <c r="D10" s="17">
        <v>417310</v>
      </c>
      <c r="E10" s="51">
        <f t="shared" ref="E10:E15" si="0">C10-D10</f>
        <v>91095.710000000021</v>
      </c>
      <c r="F10" s="13"/>
    </row>
    <row r="11" spans="2:6" x14ac:dyDescent="0.3">
      <c r="B11" s="21" t="s">
        <v>208</v>
      </c>
      <c r="C11" s="61">
        <f>'P&amp;L Capital'!D12</f>
        <v>23.08</v>
      </c>
      <c r="D11" s="17">
        <v>261482</v>
      </c>
      <c r="E11" s="51">
        <f t="shared" si="0"/>
        <v>-261458.92</v>
      </c>
      <c r="F11" s="13"/>
    </row>
    <row r="12" spans="2:6" x14ac:dyDescent="0.3">
      <c r="B12" s="21" t="s">
        <v>207</v>
      </c>
      <c r="C12" s="61">
        <f>'P&amp;L Capital'!D13</f>
        <v>0</v>
      </c>
      <c r="D12" s="18"/>
      <c r="E12" s="51"/>
      <c r="F12" s="13"/>
    </row>
    <row r="13" spans="2:6" x14ac:dyDescent="0.3">
      <c r="B13" s="25" t="s">
        <v>206</v>
      </c>
      <c r="C13" s="61">
        <f>'P&amp;L Capital'!D14</f>
        <v>3509912.56</v>
      </c>
      <c r="D13" s="17">
        <v>3000000</v>
      </c>
      <c r="E13" s="51">
        <f t="shared" si="0"/>
        <v>509912.56000000006</v>
      </c>
      <c r="F13" s="13"/>
    </row>
    <row r="14" spans="2:6" x14ac:dyDescent="0.3">
      <c r="B14" s="25" t="s">
        <v>205</v>
      </c>
      <c r="C14" s="61">
        <f>'P&amp;L Capital'!D15</f>
        <v>11127482.68</v>
      </c>
      <c r="D14" s="17">
        <v>15193502</v>
      </c>
      <c r="E14" s="51">
        <f t="shared" si="0"/>
        <v>-4066019.3200000003</v>
      </c>
      <c r="F14" s="13"/>
    </row>
    <row r="15" spans="2:6" x14ac:dyDescent="0.3">
      <c r="B15" s="25" t="s">
        <v>204</v>
      </c>
      <c r="C15" s="61">
        <f>'P&amp;L Capital'!D16</f>
        <v>885170.28</v>
      </c>
      <c r="D15" s="18"/>
      <c r="E15" s="51">
        <f t="shared" si="0"/>
        <v>885170.28</v>
      </c>
      <c r="F15" s="13"/>
    </row>
    <row r="16" spans="2:6" ht="29.4" customHeight="1" x14ac:dyDescent="0.3">
      <c r="B16" s="24" t="s">
        <v>203</v>
      </c>
      <c r="C16" s="15">
        <f>C12+C13+C14+C15</f>
        <v>15522565.52</v>
      </c>
      <c r="D16" s="15">
        <f>D12+D13+D14+D15</f>
        <v>18193502</v>
      </c>
      <c r="E16" s="63">
        <f>E12+E13+E14+E15</f>
        <v>-2670936.4800000004</v>
      </c>
      <c r="F16" s="13"/>
    </row>
    <row r="17" spans="2:6" x14ac:dyDescent="0.3">
      <c r="B17" s="21" t="s">
        <v>202</v>
      </c>
      <c r="C17" s="18"/>
      <c r="D17" s="18"/>
      <c r="E17" s="51"/>
      <c r="F17" s="13"/>
    </row>
    <row r="18" spans="2:6" x14ac:dyDescent="0.3">
      <c r="B18" s="25" t="s">
        <v>201</v>
      </c>
      <c r="C18" s="17">
        <f>'P&amp;L Capital'!D19</f>
        <v>517631.25</v>
      </c>
      <c r="D18" s="17">
        <v>300000</v>
      </c>
      <c r="E18" s="51">
        <f t="shared" ref="E18" si="1">C18-D18</f>
        <v>217631.25</v>
      </c>
      <c r="F18" s="13"/>
    </row>
    <row r="19" spans="2:6" x14ac:dyDescent="0.3">
      <c r="B19" s="24" t="s">
        <v>200</v>
      </c>
      <c r="C19" s="15">
        <f>C17+C18</f>
        <v>517631.25</v>
      </c>
      <c r="D19" s="15">
        <f>D17+D18</f>
        <v>300000</v>
      </c>
      <c r="E19" s="63">
        <f>E17+E18</f>
        <v>217631.25</v>
      </c>
      <c r="F19" s="13"/>
    </row>
    <row r="20" spans="2:6" x14ac:dyDescent="0.3">
      <c r="B20" s="20" t="s">
        <v>147</v>
      </c>
      <c r="C20" s="15">
        <f>C6+C9+C10+C11+C16+C19</f>
        <v>17400902.309999999</v>
      </c>
      <c r="D20" s="15">
        <f>D6+D9+D10+D11+D16+D19</f>
        <v>20045692</v>
      </c>
      <c r="E20" s="63">
        <f>E6+E9+E10+E11+E16+E19</f>
        <v>-2644789.6900000004</v>
      </c>
      <c r="F20" s="13"/>
    </row>
    <row r="21" spans="2:6" x14ac:dyDescent="0.3">
      <c r="B21" s="19" t="s">
        <v>226</v>
      </c>
      <c r="C21" s="18"/>
      <c r="D21" s="18"/>
      <c r="E21" s="51"/>
      <c r="F21" s="13"/>
    </row>
    <row r="22" spans="2:6" x14ac:dyDescent="0.3">
      <c r="B22" s="20" t="s">
        <v>146</v>
      </c>
      <c r="C22" s="15">
        <f>C20-C21</f>
        <v>17400902.309999999</v>
      </c>
      <c r="D22" s="15">
        <f>D20-D21</f>
        <v>20045692</v>
      </c>
      <c r="E22" s="63">
        <f>E20-E21</f>
        <v>-2644789.6900000004</v>
      </c>
      <c r="F22" s="13"/>
    </row>
    <row r="23" spans="2:6" x14ac:dyDescent="0.3">
      <c r="B23" s="19" t="s">
        <v>145</v>
      </c>
      <c r="E23" s="64"/>
      <c r="F23" s="13"/>
    </row>
    <row r="24" spans="2:6" x14ac:dyDescent="0.3">
      <c r="B24" s="21" t="s">
        <v>144</v>
      </c>
      <c r="C24" s="18"/>
      <c r="D24" s="18"/>
      <c r="E24" s="51"/>
      <c r="F24" s="13"/>
    </row>
    <row r="25" spans="2:6" x14ac:dyDescent="0.3">
      <c r="B25" s="25" t="s">
        <v>143</v>
      </c>
      <c r="C25" s="17">
        <f>'P&amp;L Capital'!D25</f>
        <v>20795.61</v>
      </c>
      <c r="D25" s="17">
        <v>1000</v>
      </c>
      <c r="E25" s="51">
        <f t="shared" ref="E25:E30" si="2">C25-D25</f>
        <v>19795.61</v>
      </c>
      <c r="F25" s="13"/>
    </row>
    <row r="26" spans="2:6" ht="21.6" x14ac:dyDescent="0.3">
      <c r="B26" s="25" t="s">
        <v>142</v>
      </c>
      <c r="C26" s="61">
        <f>'P&amp;L Capital'!D26</f>
        <v>1849.49</v>
      </c>
      <c r="D26" s="17">
        <v>2000</v>
      </c>
      <c r="E26" s="51">
        <f t="shared" si="2"/>
        <v>-150.51</v>
      </c>
      <c r="F26" s="13"/>
    </row>
    <row r="27" spans="2:6" x14ac:dyDescent="0.3">
      <c r="B27" s="25" t="s">
        <v>140</v>
      </c>
      <c r="C27" s="61">
        <f>'P&amp;L Capital'!D27</f>
        <v>-840.5</v>
      </c>
      <c r="D27" s="17">
        <v>4000</v>
      </c>
      <c r="E27" s="51">
        <f t="shared" si="2"/>
        <v>-4840.5</v>
      </c>
      <c r="F27" s="13"/>
    </row>
    <row r="28" spans="2:6" x14ac:dyDescent="0.3">
      <c r="B28" s="25" t="s">
        <v>137</v>
      </c>
      <c r="C28" s="61">
        <f>'P&amp;L Capital'!D28</f>
        <v>16253.62</v>
      </c>
      <c r="D28" s="17">
        <v>18000</v>
      </c>
      <c r="E28" s="51">
        <f t="shared" si="2"/>
        <v>-1746.3799999999992</v>
      </c>
      <c r="F28" s="13"/>
    </row>
    <row r="29" spans="2:6" x14ac:dyDescent="0.3">
      <c r="B29" s="25" t="s">
        <v>199</v>
      </c>
      <c r="C29" s="61">
        <f>'P&amp;L Capital'!D29</f>
        <v>0</v>
      </c>
      <c r="D29" s="18"/>
      <c r="E29" s="51">
        <f t="shared" si="2"/>
        <v>0</v>
      </c>
      <c r="F29" s="13"/>
    </row>
    <row r="30" spans="2:6" x14ac:dyDescent="0.3">
      <c r="B30" s="25" t="s">
        <v>198</v>
      </c>
      <c r="C30" s="61">
        <f>'P&amp;L Capital'!D30</f>
        <v>1175.08</v>
      </c>
      <c r="D30" s="18"/>
      <c r="E30" s="51">
        <f t="shared" si="2"/>
        <v>1175.08</v>
      </c>
      <c r="F30" s="13"/>
    </row>
    <row r="31" spans="2:6" x14ac:dyDescent="0.3">
      <c r="B31" s="24" t="s">
        <v>130</v>
      </c>
      <c r="C31" s="15">
        <f>C24+C25+C26+C27+C28+C29+C30</f>
        <v>39233.300000000003</v>
      </c>
      <c r="D31" s="15">
        <f>D24+D25+D26+D27+D28+D29+D30</f>
        <v>25000</v>
      </c>
      <c r="E31" s="63">
        <f>E24+E25+E26+E27+E28+E29+E30</f>
        <v>14233.300000000003</v>
      </c>
      <c r="F31" s="13"/>
    </row>
    <row r="32" spans="2:6" s="55" customFormat="1" x14ac:dyDescent="0.3">
      <c r="B32" s="57" t="s">
        <v>129</v>
      </c>
      <c r="C32" s="60"/>
      <c r="D32" s="53"/>
      <c r="E32" s="65"/>
    </row>
    <row r="33" spans="2:6" s="55" customFormat="1" x14ac:dyDescent="0.3">
      <c r="B33" s="58" t="s">
        <v>247</v>
      </c>
      <c r="C33" s="61">
        <f>'P&amp;L Capital'!D33</f>
        <v>1290</v>
      </c>
      <c r="D33" s="54"/>
      <c r="E33" s="51">
        <f t="shared" ref="E33" si="3">C33-D33</f>
        <v>1290</v>
      </c>
    </row>
    <row r="34" spans="2:6" s="55" customFormat="1" x14ac:dyDescent="0.3">
      <c r="B34" s="59" t="s">
        <v>119</v>
      </c>
      <c r="C34" s="62">
        <f>C33</f>
        <v>1290</v>
      </c>
      <c r="D34" s="62">
        <f>D33</f>
        <v>0</v>
      </c>
      <c r="E34" s="63">
        <f>E33</f>
        <v>1290</v>
      </c>
    </row>
    <row r="35" spans="2:6" x14ac:dyDescent="0.3">
      <c r="B35" s="21" t="s">
        <v>118</v>
      </c>
      <c r="C35" s="18"/>
      <c r="D35" s="18"/>
      <c r="E35" s="51"/>
      <c r="F35" s="13"/>
    </row>
    <row r="36" spans="2:6" x14ac:dyDescent="0.3">
      <c r="B36" s="25" t="s">
        <v>117</v>
      </c>
      <c r="C36" s="17">
        <f>'P&amp;L Capital'!D36</f>
        <v>180302.43</v>
      </c>
      <c r="D36" s="17">
        <v>93680</v>
      </c>
      <c r="E36" s="51">
        <f>C36-D36</f>
        <v>86622.43</v>
      </c>
      <c r="F36" s="13"/>
    </row>
    <row r="37" spans="2:6" x14ac:dyDescent="0.3">
      <c r="B37" s="25" t="s">
        <v>116</v>
      </c>
      <c r="C37" s="61">
        <f>'P&amp;L Capital'!D37</f>
        <v>13380.28</v>
      </c>
      <c r="D37" s="17">
        <v>7167</v>
      </c>
      <c r="E37" s="51">
        <f t="shared" ref="E37:E43" si="4">C37-D37</f>
        <v>6213.2800000000007</v>
      </c>
      <c r="F37" s="13"/>
    </row>
    <row r="38" spans="2:6" x14ac:dyDescent="0.3">
      <c r="B38" s="25" t="s">
        <v>115</v>
      </c>
      <c r="C38" s="61">
        <f>'P&amp;L Capital'!D38</f>
        <v>3158.7</v>
      </c>
      <c r="D38" s="17">
        <v>2166</v>
      </c>
      <c r="E38" s="51">
        <f t="shared" si="4"/>
        <v>992.69999999999982</v>
      </c>
      <c r="F38" s="13"/>
    </row>
    <row r="39" spans="2:6" x14ac:dyDescent="0.3">
      <c r="B39" s="25" t="s">
        <v>197</v>
      </c>
      <c r="C39" s="61">
        <f>'P&amp;L Capital'!D39</f>
        <v>3108.24</v>
      </c>
      <c r="D39" s="18"/>
      <c r="E39" s="51">
        <f t="shared" si="4"/>
        <v>3108.24</v>
      </c>
      <c r="F39" s="13"/>
    </row>
    <row r="40" spans="2:6" x14ac:dyDescent="0.3">
      <c r="B40" s="24" t="s">
        <v>113</v>
      </c>
      <c r="C40" s="15">
        <f>C35+C36+C37+C38+C39</f>
        <v>199949.65</v>
      </c>
      <c r="D40" s="15">
        <f>D35+D36+D37+D38+D39</f>
        <v>103013</v>
      </c>
      <c r="E40" s="63">
        <f>E35+E36+E37+E38+E39</f>
        <v>96936.65</v>
      </c>
      <c r="F40" s="13"/>
    </row>
    <row r="41" spans="2:6" x14ac:dyDescent="0.3">
      <c r="B41" s="21" t="s">
        <v>196</v>
      </c>
      <c r="C41" s="18"/>
      <c r="D41" s="17">
        <v>17000</v>
      </c>
      <c r="E41" s="51">
        <f t="shared" si="4"/>
        <v>-17000</v>
      </c>
      <c r="F41" s="13"/>
    </row>
    <row r="42" spans="2:6" x14ac:dyDescent="0.3">
      <c r="B42" s="25" t="s">
        <v>108</v>
      </c>
      <c r="C42" s="17">
        <f>'P&amp;L Capital'!D42</f>
        <v>718</v>
      </c>
      <c r="D42" s="18"/>
      <c r="E42" s="51">
        <f t="shared" si="4"/>
        <v>718</v>
      </c>
      <c r="F42" s="13"/>
    </row>
    <row r="43" spans="2:6" x14ac:dyDescent="0.3">
      <c r="B43" s="25" t="s">
        <v>107</v>
      </c>
      <c r="C43" s="61">
        <f>'P&amp;L Capital'!D43</f>
        <v>1321.12</v>
      </c>
      <c r="D43" s="18"/>
      <c r="E43" s="51">
        <f t="shared" si="4"/>
        <v>1321.12</v>
      </c>
      <c r="F43" s="13"/>
    </row>
    <row r="44" spans="2:6" ht="27" customHeight="1" x14ac:dyDescent="0.3">
      <c r="B44" s="24" t="s">
        <v>195</v>
      </c>
      <c r="C44" s="15">
        <f>C41+C42+C43</f>
        <v>2039.12</v>
      </c>
      <c r="D44" s="15">
        <f>D41+D42+D43</f>
        <v>17000</v>
      </c>
      <c r="E44" s="63">
        <f>E41+E42+E43</f>
        <v>-14960.880000000001</v>
      </c>
      <c r="F44" s="13"/>
    </row>
    <row r="45" spans="2:6" x14ac:dyDescent="0.3">
      <c r="B45" s="21" t="s">
        <v>105</v>
      </c>
      <c r="C45" s="18"/>
      <c r="D45" s="18"/>
      <c r="E45" s="51"/>
      <c r="F45" s="13"/>
    </row>
    <row r="46" spans="2:6" x14ac:dyDescent="0.3">
      <c r="B46" s="25" t="s">
        <v>104</v>
      </c>
      <c r="C46" s="17">
        <f>'P&amp;L Capital'!D46</f>
        <v>10640.13</v>
      </c>
      <c r="D46" s="18"/>
      <c r="E46" s="51">
        <f t="shared" ref="E46:E56" si="5">C46-D46</f>
        <v>10640.13</v>
      </c>
      <c r="F46" s="13"/>
    </row>
    <row r="47" spans="2:6" x14ac:dyDescent="0.3">
      <c r="B47" s="25" t="s">
        <v>103</v>
      </c>
      <c r="C47" s="61">
        <f>'P&amp;L Capital'!D47</f>
        <v>15075</v>
      </c>
      <c r="D47" s="18"/>
      <c r="E47" s="51">
        <f t="shared" si="5"/>
        <v>15075</v>
      </c>
      <c r="F47" s="13"/>
    </row>
    <row r="48" spans="2:6" x14ac:dyDescent="0.3">
      <c r="B48" s="25" t="s">
        <v>194</v>
      </c>
      <c r="C48" s="61">
        <f>'P&amp;L Capital'!D48</f>
        <v>8378</v>
      </c>
      <c r="D48" s="18"/>
      <c r="E48" s="51">
        <f t="shared" si="5"/>
        <v>8378</v>
      </c>
      <c r="F48" s="13"/>
    </row>
    <row r="49" spans="2:6" x14ac:dyDescent="0.3">
      <c r="B49" s="25" t="s">
        <v>193</v>
      </c>
      <c r="C49" s="61">
        <f>'P&amp;L Capital'!D49</f>
        <v>431567.53</v>
      </c>
      <c r="D49" s="17">
        <v>478840</v>
      </c>
      <c r="E49" s="51">
        <f t="shared" si="5"/>
        <v>-47272.469999999972</v>
      </c>
      <c r="F49" s="13"/>
    </row>
    <row r="50" spans="2:6" x14ac:dyDescent="0.3">
      <c r="B50" s="25" t="s">
        <v>192</v>
      </c>
      <c r="C50" s="61">
        <f>'P&amp;L Capital'!D50</f>
        <v>66135</v>
      </c>
      <c r="D50" s="18"/>
      <c r="E50" s="51">
        <f t="shared" si="5"/>
        <v>66135</v>
      </c>
      <c r="F50" s="13"/>
    </row>
    <row r="51" spans="2:6" x14ac:dyDescent="0.3">
      <c r="B51" s="25" t="s">
        <v>191</v>
      </c>
      <c r="C51" s="61">
        <f>'P&amp;L Capital'!D51</f>
        <v>0</v>
      </c>
      <c r="D51" s="17">
        <v>35269</v>
      </c>
      <c r="E51" s="51">
        <f t="shared" si="5"/>
        <v>-35269</v>
      </c>
      <c r="F51" s="13"/>
    </row>
    <row r="52" spans="2:6" x14ac:dyDescent="0.3">
      <c r="B52" s="28" t="s">
        <v>190</v>
      </c>
      <c r="C52" s="61">
        <f>'P&amp;L Capital'!D52</f>
        <v>11760.35</v>
      </c>
      <c r="D52" s="17">
        <v>144088</v>
      </c>
      <c r="E52" s="51">
        <f t="shared" si="5"/>
        <v>-132327.65</v>
      </c>
      <c r="F52" s="13"/>
    </row>
    <row r="53" spans="2:6" x14ac:dyDescent="0.3">
      <c r="B53" s="28" t="s">
        <v>189</v>
      </c>
      <c r="C53" s="61">
        <f>'P&amp;L Capital'!D53</f>
        <v>0</v>
      </c>
      <c r="D53" s="18"/>
      <c r="E53" s="51">
        <f t="shared" si="5"/>
        <v>0</v>
      </c>
      <c r="F53" s="13"/>
    </row>
    <row r="54" spans="2:6" x14ac:dyDescent="0.3">
      <c r="B54" s="26" t="s">
        <v>188</v>
      </c>
      <c r="C54" s="15">
        <f>C51+C52+C53</f>
        <v>11760.35</v>
      </c>
      <c r="D54" s="15">
        <f>D51+D52+D53</f>
        <v>179357</v>
      </c>
      <c r="E54" s="63">
        <f>E51+E52+E53</f>
        <v>-167596.65</v>
      </c>
      <c r="F54" s="13"/>
    </row>
    <row r="55" spans="2:6" x14ac:dyDescent="0.3">
      <c r="B55" s="25" t="s">
        <v>187</v>
      </c>
      <c r="C55" s="17">
        <f>'P&amp;L Capital'!D55</f>
        <v>24000</v>
      </c>
      <c r="D55" s="18"/>
      <c r="E55" s="51">
        <f t="shared" si="5"/>
        <v>24000</v>
      </c>
      <c r="F55" s="13"/>
    </row>
    <row r="56" spans="2:6" x14ac:dyDescent="0.3">
      <c r="B56" s="25" t="s">
        <v>186</v>
      </c>
      <c r="C56" s="61">
        <f>'P&amp;L Capital'!D56</f>
        <v>10975.63</v>
      </c>
      <c r="D56" s="18"/>
      <c r="E56" s="51">
        <f t="shared" si="5"/>
        <v>10975.63</v>
      </c>
      <c r="F56" s="13"/>
    </row>
    <row r="57" spans="2:6" x14ac:dyDescent="0.3">
      <c r="B57" s="24" t="s">
        <v>101</v>
      </c>
      <c r="C57" s="15">
        <f>C45+C46+C47+C48+C49+C50+C54+C55+C56</f>
        <v>578531.64</v>
      </c>
      <c r="D57" s="15">
        <f>D45+D46+D47+D48+D49+D50+D54+D55+D56</f>
        <v>658197</v>
      </c>
      <c r="E57" s="63">
        <f>E45+E46+E47+E48+E49+E50+E54+E55+E56</f>
        <v>-79665.359999999957</v>
      </c>
      <c r="F57" s="13"/>
    </row>
    <row r="58" spans="2:6" x14ac:dyDescent="0.3">
      <c r="B58" s="21" t="s">
        <v>185</v>
      </c>
      <c r="C58" s="18"/>
      <c r="D58" s="18"/>
      <c r="E58" s="51"/>
      <c r="F58" s="13"/>
    </row>
    <row r="59" spans="2:6" x14ac:dyDescent="0.3">
      <c r="B59" s="25" t="s">
        <v>184</v>
      </c>
      <c r="C59" s="17">
        <f>'P&amp;L Capital'!D59</f>
        <v>3649.1</v>
      </c>
      <c r="D59" s="18"/>
      <c r="E59" s="51">
        <f t="shared" ref="E59:E69" si="6">C59-D59</f>
        <v>3649.1</v>
      </c>
      <c r="F59" s="13"/>
    </row>
    <row r="60" spans="2:6" x14ac:dyDescent="0.3">
      <c r="B60" s="25" t="s">
        <v>183</v>
      </c>
      <c r="C60" s="61">
        <f>'P&amp;L Capital'!D60</f>
        <v>29900.13</v>
      </c>
      <c r="D60" s="17">
        <v>86522</v>
      </c>
      <c r="E60" s="51">
        <f t="shared" si="6"/>
        <v>-56621.869999999995</v>
      </c>
      <c r="F60" s="13"/>
    </row>
    <row r="61" spans="2:6" x14ac:dyDescent="0.3">
      <c r="B61" s="25" t="s">
        <v>182</v>
      </c>
      <c r="C61" s="61">
        <f>'P&amp;L Capital'!D61</f>
        <v>8913.5</v>
      </c>
      <c r="D61" s="17">
        <v>60000</v>
      </c>
      <c r="E61" s="51">
        <f t="shared" si="6"/>
        <v>-51086.5</v>
      </c>
      <c r="F61" s="13"/>
    </row>
    <row r="62" spans="2:6" x14ac:dyDescent="0.3">
      <c r="B62" s="25" t="s">
        <v>181</v>
      </c>
      <c r="C62" s="61">
        <f>'P&amp;L Capital'!D62</f>
        <v>877.14</v>
      </c>
      <c r="D62" s="17">
        <v>3000</v>
      </c>
      <c r="E62" s="51">
        <f t="shared" si="6"/>
        <v>-2122.86</v>
      </c>
      <c r="F62" s="13"/>
    </row>
    <row r="63" spans="2:6" x14ac:dyDescent="0.3">
      <c r="B63" s="25" t="s">
        <v>180</v>
      </c>
      <c r="C63" s="61">
        <f>'P&amp;L Capital'!D63</f>
        <v>5564.41</v>
      </c>
      <c r="D63" s="18"/>
      <c r="E63" s="51">
        <f t="shared" si="6"/>
        <v>5564.41</v>
      </c>
      <c r="F63" s="13"/>
    </row>
    <row r="64" spans="2:6" x14ac:dyDescent="0.3">
      <c r="B64" s="25" t="s">
        <v>179</v>
      </c>
      <c r="C64" s="61">
        <f>'P&amp;L Capital'!D64</f>
        <v>22892.74</v>
      </c>
      <c r="D64" s="17">
        <v>350</v>
      </c>
      <c r="E64" s="51">
        <f t="shared" si="6"/>
        <v>22542.74</v>
      </c>
      <c r="F64" s="13"/>
    </row>
    <row r="65" spans="2:6" x14ac:dyDescent="0.3">
      <c r="B65" s="25" t="s">
        <v>178</v>
      </c>
      <c r="C65" s="61">
        <f>'P&amp;L Capital'!D65</f>
        <v>28918.080000000002</v>
      </c>
      <c r="D65" s="17">
        <v>1500</v>
      </c>
      <c r="E65" s="51">
        <f t="shared" si="6"/>
        <v>27418.080000000002</v>
      </c>
      <c r="F65" s="13"/>
    </row>
    <row r="66" spans="2:6" x14ac:dyDescent="0.3">
      <c r="B66" s="25" t="s">
        <v>177</v>
      </c>
      <c r="C66" s="61">
        <f>'P&amp;L Capital'!D66</f>
        <v>2975.62</v>
      </c>
      <c r="D66" s="18"/>
      <c r="E66" s="51">
        <f t="shared" si="6"/>
        <v>2975.62</v>
      </c>
      <c r="F66" s="13"/>
    </row>
    <row r="67" spans="2:6" x14ac:dyDescent="0.3">
      <c r="B67" s="25" t="s">
        <v>176</v>
      </c>
      <c r="C67" s="61">
        <f>'P&amp;L Capital'!D67</f>
        <v>808.94</v>
      </c>
      <c r="D67" s="18"/>
      <c r="E67" s="51">
        <f t="shared" si="6"/>
        <v>808.94</v>
      </c>
      <c r="F67" s="13"/>
    </row>
    <row r="68" spans="2:6" x14ac:dyDescent="0.3">
      <c r="B68" s="25" t="s">
        <v>241</v>
      </c>
      <c r="C68" s="61"/>
      <c r="D68" s="17">
        <v>30000</v>
      </c>
      <c r="E68" s="51">
        <f t="shared" si="6"/>
        <v>-30000</v>
      </c>
      <c r="F68" s="13"/>
    </row>
    <row r="69" spans="2:6" x14ac:dyDescent="0.3">
      <c r="B69" s="25" t="s">
        <v>240</v>
      </c>
      <c r="C69" s="61"/>
      <c r="D69" s="17">
        <v>50000</v>
      </c>
      <c r="E69" s="51">
        <f t="shared" si="6"/>
        <v>-50000</v>
      </c>
      <c r="F69" s="13"/>
    </row>
    <row r="70" spans="2:6" x14ac:dyDescent="0.3">
      <c r="B70" s="24" t="s">
        <v>175</v>
      </c>
      <c r="C70" s="15">
        <f>C58+C59+C60+C61+C62+C63+C64+C65+C66+C67+C68+C69</f>
        <v>104499.66</v>
      </c>
      <c r="D70" s="15">
        <f>D58+D59+D60+D61+D62+D63+D64+D65+D66+D67+D68+D69</f>
        <v>231372</v>
      </c>
      <c r="E70" s="63">
        <f>E58+E59+E60+E61+E62+E63+E64+E65+E66+E67+E68+E69</f>
        <v>-126872.33999999997</v>
      </c>
      <c r="F70" s="13"/>
    </row>
    <row r="71" spans="2:6" x14ac:dyDescent="0.3">
      <c r="B71" s="21" t="s">
        <v>174</v>
      </c>
      <c r="C71" s="18"/>
      <c r="D71" s="18"/>
      <c r="E71" s="51"/>
      <c r="F71" s="13"/>
    </row>
    <row r="72" spans="2:6" x14ac:dyDescent="0.3">
      <c r="B72" s="25" t="s">
        <v>173</v>
      </c>
      <c r="C72" s="17">
        <f>'P&amp;L Capital'!D70</f>
        <v>244046</v>
      </c>
      <c r="D72" s="17">
        <v>225000</v>
      </c>
      <c r="E72" s="51">
        <f t="shared" ref="E72:E81" si="7">C72-D72</f>
        <v>19046</v>
      </c>
      <c r="F72" s="13"/>
    </row>
    <row r="73" spans="2:6" x14ac:dyDescent="0.3">
      <c r="B73" s="25" t="s">
        <v>172</v>
      </c>
      <c r="C73" s="61">
        <f>'P&amp;L Capital'!D71</f>
        <v>115500</v>
      </c>
      <c r="D73" s="17">
        <v>75000</v>
      </c>
      <c r="E73" s="51">
        <f t="shared" si="7"/>
        <v>40500</v>
      </c>
      <c r="F73" s="13"/>
    </row>
    <row r="74" spans="2:6" x14ac:dyDescent="0.3">
      <c r="B74" s="25" t="s">
        <v>171</v>
      </c>
      <c r="C74" s="61">
        <f>'P&amp;L Capital'!D72</f>
        <v>91568</v>
      </c>
      <c r="D74" s="18"/>
      <c r="E74" s="51">
        <f t="shared" si="7"/>
        <v>91568</v>
      </c>
      <c r="F74" s="13"/>
    </row>
    <row r="75" spans="2:6" x14ac:dyDescent="0.3">
      <c r="B75" s="25" t="s">
        <v>170</v>
      </c>
      <c r="C75" s="61">
        <f>'P&amp;L Capital'!D73</f>
        <v>10020.959999999999</v>
      </c>
      <c r="D75" s="18"/>
      <c r="E75" s="51">
        <f t="shared" si="7"/>
        <v>10020.959999999999</v>
      </c>
      <c r="F75" s="13"/>
    </row>
    <row r="76" spans="2:6" x14ac:dyDescent="0.3">
      <c r="B76" s="25" t="s">
        <v>169</v>
      </c>
      <c r="C76" s="61">
        <f>'P&amp;L Capital'!D74</f>
        <v>23497645.91</v>
      </c>
      <c r="D76" s="17">
        <v>30000000</v>
      </c>
      <c r="E76" s="51">
        <f t="shared" si="7"/>
        <v>-6502354.0899999999</v>
      </c>
      <c r="F76" s="13"/>
    </row>
    <row r="77" spans="2:6" x14ac:dyDescent="0.3">
      <c r="B77" s="25" t="s">
        <v>168</v>
      </c>
      <c r="C77" s="61">
        <f>'P&amp;L Capital'!D75</f>
        <v>765.45</v>
      </c>
      <c r="D77" s="18"/>
      <c r="E77" s="51">
        <f t="shared" si="7"/>
        <v>765.45</v>
      </c>
      <c r="F77" s="13"/>
    </row>
    <row r="78" spans="2:6" x14ac:dyDescent="0.3">
      <c r="B78" s="25" t="s">
        <v>239</v>
      </c>
      <c r="C78" s="18"/>
      <c r="D78" s="17">
        <v>100000</v>
      </c>
      <c r="E78" s="51">
        <f t="shared" si="7"/>
        <v>-100000</v>
      </c>
      <c r="F78" s="13"/>
    </row>
    <row r="79" spans="2:6" x14ac:dyDescent="0.3">
      <c r="B79" s="25" t="s">
        <v>238</v>
      </c>
      <c r="C79" s="18"/>
      <c r="D79" s="17">
        <v>200000</v>
      </c>
      <c r="E79" s="51">
        <f t="shared" si="7"/>
        <v>-200000</v>
      </c>
      <c r="F79" s="13"/>
    </row>
    <row r="80" spans="2:6" x14ac:dyDescent="0.3">
      <c r="B80" s="25" t="s">
        <v>237</v>
      </c>
      <c r="C80" s="18"/>
      <c r="D80" s="18"/>
      <c r="E80" s="51">
        <f t="shared" si="7"/>
        <v>0</v>
      </c>
      <c r="F80" s="13"/>
    </row>
    <row r="81" spans="2:6" x14ac:dyDescent="0.3">
      <c r="B81" s="28" t="s">
        <v>236</v>
      </c>
      <c r="C81" s="18"/>
      <c r="D81" s="17">
        <v>5000</v>
      </c>
      <c r="E81" s="51">
        <f t="shared" si="7"/>
        <v>-5000</v>
      </c>
      <c r="F81" s="13"/>
    </row>
    <row r="82" spans="2:6" x14ac:dyDescent="0.3">
      <c r="B82" s="26" t="s">
        <v>235</v>
      </c>
      <c r="C82" s="15">
        <f>C80+C81</f>
        <v>0</v>
      </c>
      <c r="D82" s="15">
        <f>D80+D81</f>
        <v>5000</v>
      </c>
      <c r="E82" s="63">
        <f>E80+E81</f>
        <v>-5000</v>
      </c>
      <c r="F82" s="13"/>
    </row>
    <row r="83" spans="2:6" x14ac:dyDescent="0.3">
      <c r="B83" s="25" t="s">
        <v>234</v>
      </c>
      <c r="C83" s="18"/>
      <c r="D83" s="17">
        <v>28953</v>
      </c>
      <c r="E83" s="51">
        <v>-28953</v>
      </c>
      <c r="F83" s="13"/>
    </row>
    <row r="84" spans="2:6" ht="29.4" customHeight="1" x14ac:dyDescent="0.3">
      <c r="B84" s="24" t="s">
        <v>167</v>
      </c>
      <c r="C84" s="15">
        <f>C71+C72+C73+C74+C75+C76+C77+C78+C79+C82+C83</f>
        <v>23959546.32</v>
      </c>
      <c r="D84" s="15">
        <f>D71+D72+D73+D74+D75+D76+D77+D78+D79+D82+D83</f>
        <v>30633953</v>
      </c>
      <c r="E84" s="63">
        <f>E71+E72+E73+E74+E75+E76+E77+E78+E79+E82+E83</f>
        <v>-6674406.6799999997</v>
      </c>
      <c r="F84" s="13"/>
    </row>
    <row r="85" spans="2:6" x14ac:dyDescent="0.3">
      <c r="B85" s="20" t="s">
        <v>100</v>
      </c>
      <c r="C85" s="15">
        <f>C23+C31+C40+C44+C57+C70+C84+C34</f>
        <v>24885089.690000001</v>
      </c>
      <c r="D85" s="62">
        <f>D23+D31+D40+D44+D57+D70+D84+D34</f>
        <v>31668535</v>
      </c>
      <c r="E85" s="63">
        <f>E23+E31+E40+E44+E57+E70+E84+E34</f>
        <v>-6783445.3099999996</v>
      </c>
      <c r="F85" s="13"/>
    </row>
    <row r="86" spans="2:6" x14ac:dyDescent="0.3">
      <c r="B86" s="20" t="s">
        <v>233</v>
      </c>
      <c r="C86" s="32">
        <f>C22-C85</f>
        <v>-7484187.3800000027</v>
      </c>
      <c r="D86" s="32">
        <f>D22-D85</f>
        <v>-11622843</v>
      </c>
      <c r="E86" s="63">
        <f>E22-E85</f>
        <v>4138655.6199999992</v>
      </c>
      <c r="F86" s="13"/>
    </row>
    <row r="87" spans="2:6" x14ac:dyDescent="0.3">
      <c r="B87" s="19" t="s">
        <v>166</v>
      </c>
      <c r="E87" s="64"/>
      <c r="F87" s="13"/>
    </row>
    <row r="88" spans="2:6" x14ac:dyDescent="0.3">
      <c r="B88" s="21" t="s">
        <v>165</v>
      </c>
      <c r="C88" s="18"/>
      <c r="D88" s="18"/>
      <c r="E88" s="51"/>
      <c r="F88" s="13"/>
    </row>
    <row r="89" spans="2:6" x14ac:dyDescent="0.3">
      <c r="B89" s="25" t="s">
        <v>164</v>
      </c>
      <c r="C89" s="17">
        <f>'P&amp;L Capital'!D81</f>
        <v>102599.75</v>
      </c>
      <c r="D89" s="17">
        <v>111927</v>
      </c>
      <c r="E89" s="66">
        <f t="shared" ref="E89:E91" si="8">C89-D89</f>
        <v>-9327.25</v>
      </c>
      <c r="F89" s="13"/>
    </row>
    <row r="90" spans="2:6" ht="28.2" customHeight="1" x14ac:dyDescent="0.3">
      <c r="B90" s="24" t="s">
        <v>163</v>
      </c>
      <c r="C90" s="15">
        <f>C88+C89</f>
        <v>102599.75</v>
      </c>
      <c r="D90" s="15">
        <f>D88+D89</f>
        <v>111927</v>
      </c>
      <c r="E90" s="51">
        <f t="shared" si="8"/>
        <v>-9327.25</v>
      </c>
      <c r="F90" s="13"/>
    </row>
    <row r="91" spans="2:6" x14ac:dyDescent="0.3">
      <c r="B91" s="21" t="s">
        <v>162</v>
      </c>
      <c r="C91" s="33">
        <f>'P&amp;L Capital'!D83</f>
        <v>-39263.49</v>
      </c>
      <c r="D91" s="18"/>
      <c r="E91" s="51">
        <f t="shared" si="8"/>
        <v>-39263.49</v>
      </c>
      <c r="F91" s="13"/>
    </row>
    <row r="92" spans="2:6" x14ac:dyDescent="0.3">
      <c r="B92" s="20" t="s">
        <v>161</v>
      </c>
      <c r="C92" s="15">
        <f>C87+C90+C91</f>
        <v>63336.26</v>
      </c>
      <c r="D92" s="15">
        <f>D87+D90+D91</f>
        <v>111927</v>
      </c>
      <c r="E92" s="63">
        <f>E87+E90+E91</f>
        <v>-48590.74</v>
      </c>
      <c r="F92" s="13"/>
    </row>
    <row r="93" spans="2:6" x14ac:dyDescent="0.3">
      <c r="B93" s="19" t="s">
        <v>99</v>
      </c>
      <c r="E93" s="64"/>
      <c r="F93" s="13"/>
    </row>
    <row r="94" spans="2:6" x14ac:dyDescent="0.3">
      <c r="B94" s="21" t="s">
        <v>160</v>
      </c>
      <c r="C94" s="18"/>
      <c r="D94" s="18"/>
      <c r="E94" s="51"/>
      <c r="F94" s="13"/>
    </row>
    <row r="95" spans="2:6" x14ac:dyDescent="0.3">
      <c r="B95" s="25" t="s">
        <v>159</v>
      </c>
      <c r="C95" s="17">
        <f>'P&amp;L Capital'!D87</f>
        <v>108952.21</v>
      </c>
      <c r="D95" s="17">
        <v>112409</v>
      </c>
      <c r="E95" s="51">
        <f t="shared" ref="E95" si="9">C95-D95</f>
        <v>-3456.7899999999936</v>
      </c>
      <c r="F95" s="13"/>
    </row>
    <row r="96" spans="2:6" ht="26.4" customHeight="1" x14ac:dyDescent="0.3">
      <c r="B96" s="24" t="s">
        <v>158</v>
      </c>
      <c r="C96" s="15">
        <f>C94+C95</f>
        <v>108952.21</v>
      </c>
      <c r="D96" s="15">
        <f>D94+D95</f>
        <v>112409</v>
      </c>
      <c r="E96" s="63">
        <f>E94+E95</f>
        <v>-3456.7899999999936</v>
      </c>
      <c r="F96" s="13"/>
    </row>
    <row r="97" spans="2:6" x14ac:dyDescent="0.3">
      <c r="B97" s="20" t="s">
        <v>95</v>
      </c>
      <c r="C97" s="15">
        <f>C93+C96</f>
        <v>108952.21</v>
      </c>
      <c r="D97" s="15">
        <f>D93+D96</f>
        <v>112409</v>
      </c>
      <c r="E97" s="63">
        <f>E93+E96</f>
        <v>-3456.7899999999936</v>
      </c>
      <c r="F97" s="13"/>
    </row>
    <row r="98" spans="2:6" x14ac:dyDescent="0.3">
      <c r="B98" s="20" t="s">
        <v>232</v>
      </c>
      <c r="C98" s="32">
        <f>C92-C97</f>
        <v>-45615.950000000004</v>
      </c>
      <c r="D98" s="32">
        <f>D92-D97</f>
        <v>-482</v>
      </c>
      <c r="E98" s="63">
        <f>E92-E97</f>
        <v>-45133.950000000004</v>
      </c>
      <c r="F98" s="13"/>
    </row>
    <row r="99" spans="2:6" x14ac:dyDescent="0.3">
      <c r="B99" s="20" t="s">
        <v>231</v>
      </c>
      <c r="C99" s="32">
        <f>C86+C98</f>
        <v>-7529803.3300000029</v>
      </c>
      <c r="D99" s="32">
        <f>D86+D98</f>
        <v>-11623325</v>
      </c>
      <c r="E99" s="63">
        <f>E86+E98</f>
        <v>4093521.669999999</v>
      </c>
      <c r="F99" s="13"/>
    </row>
    <row r="100" spans="2:6" x14ac:dyDescent="0.3">
      <c r="F100" s="13"/>
    </row>
    <row r="101" spans="2:6" x14ac:dyDescent="0.3">
      <c r="F101" s="13"/>
    </row>
    <row r="102" spans="2:6" x14ac:dyDescent="0.3">
      <c r="F102" s="13"/>
    </row>
    <row r="103" spans="2:6" x14ac:dyDescent="0.3">
      <c r="B103" s="39"/>
      <c r="C103" s="38"/>
      <c r="D103" s="38"/>
      <c r="E103" s="38"/>
      <c r="F103" s="38"/>
    </row>
  </sheetData>
  <mergeCells count="3">
    <mergeCell ref="B1:F1"/>
    <mergeCell ref="B2:F2"/>
    <mergeCell ref="B103:F103"/>
  </mergeCells>
  <pageMargins left="0.7" right="0.7" top="0.75" bottom="0.75" header="0.3" footer="0.3"/>
  <pageSetup orientation="portrait" r:id="rId1"/>
  <headerFooter>
    <oddFooter>&amp;CFor Internal Use Only- Unaudited Subject to Change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9696-EFA7-4881-99C7-FA2D00A3BB11}">
  <dimension ref="B1:F90"/>
  <sheetViews>
    <sheetView topLeftCell="A58" workbookViewId="0">
      <selection activeCell="E85" sqref="E85"/>
    </sheetView>
  </sheetViews>
  <sheetFormatPr defaultColWidth="11.296875" defaultRowHeight="15.6" x14ac:dyDescent="0.3"/>
  <cols>
    <col min="1" max="1" width="11.296875" style="13"/>
    <col min="2" max="2" width="32.3984375" style="14" customWidth="1"/>
    <col min="3" max="3" width="8.19921875" style="14" bestFit="1" customWidth="1"/>
    <col min="4" max="4" width="8.3984375" style="14" customWidth="1"/>
    <col min="5" max="5" width="12.09765625" style="14" bestFit="1" customWidth="1"/>
    <col min="6" max="6" width="15.19921875" style="14" customWidth="1"/>
    <col min="7" max="16384" width="11.296875" style="13"/>
  </cols>
  <sheetData>
    <row r="1" spans="2:6" ht="15.6" customHeight="1" x14ac:dyDescent="0.3">
      <c r="B1" s="40" t="s">
        <v>230</v>
      </c>
      <c r="C1" s="40"/>
      <c r="D1" s="40"/>
      <c r="E1" s="40"/>
    </row>
    <row r="2" spans="2:6" x14ac:dyDescent="0.3">
      <c r="B2" s="37" t="s">
        <v>245</v>
      </c>
      <c r="C2" s="38"/>
      <c r="D2" s="38"/>
      <c r="E2" s="38"/>
      <c r="F2" s="38"/>
    </row>
    <row r="4" spans="2:6" x14ac:dyDescent="0.3">
      <c r="B4" s="22" t="s">
        <v>58</v>
      </c>
      <c r="C4" s="35" t="s">
        <v>52</v>
      </c>
      <c r="D4" s="34"/>
      <c r="E4" s="34"/>
    </row>
    <row r="5" spans="2:6" x14ac:dyDescent="0.3">
      <c r="C5" s="22" t="s">
        <v>229</v>
      </c>
      <c r="D5" s="22" t="s">
        <v>228</v>
      </c>
      <c r="E5" s="22" t="s">
        <v>227</v>
      </c>
      <c r="F5" s="13"/>
    </row>
    <row r="6" spans="2:6" x14ac:dyDescent="0.3">
      <c r="B6" s="19" t="s">
        <v>156</v>
      </c>
      <c r="F6" s="13"/>
    </row>
    <row r="7" spans="2:6" x14ac:dyDescent="0.3">
      <c r="B7" s="21" t="s">
        <v>155</v>
      </c>
      <c r="C7" s="18"/>
      <c r="D7" s="18"/>
      <c r="E7" s="48"/>
      <c r="F7" s="13"/>
    </row>
    <row r="8" spans="2:6" x14ac:dyDescent="0.3">
      <c r="B8" s="25" t="s">
        <v>154</v>
      </c>
      <c r="C8" s="17">
        <f>'P&amp;L General Fund'!D8</f>
        <v>622407.68000000005</v>
      </c>
      <c r="D8" s="17">
        <v>622003</v>
      </c>
      <c r="E8" s="51">
        <f>C8-D8</f>
        <v>404.68000000005122</v>
      </c>
      <c r="F8" s="13"/>
    </row>
    <row r="9" spans="2:6" x14ac:dyDescent="0.3">
      <c r="B9" s="24" t="s">
        <v>153</v>
      </c>
      <c r="C9" s="15">
        <f>C7+C8</f>
        <v>622407.68000000005</v>
      </c>
      <c r="D9" s="15">
        <f>D7+D8</f>
        <v>622003</v>
      </c>
      <c r="E9" s="63">
        <f>E7+E8</f>
        <v>404.68000000005122</v>
      </c>
      <c r="F9" s="13"/>
    </row>
    <row r="10" spans="2:6" x14ac:dyDescent="0.3">
      <c r="B10" s="21" t="s">
        <v>152</v>
      </c>
      <c r="C10" s="17">
        <f>'P&amp;L General Fund'!D10</f>
        <v>631.49</v>
      </c>
      <c r="D10" s="17">
        <v>15000</v>
      </c>
      <c r="E10" s="51">
        <f>C10-D10</f>
        <v>-14368.51</v>
      </c>
      <c r="F10" s="13"/>
    </row>
    <row r="11" spans="2:6" x14ac:dyDescent="0.3">
      <c r="B11" s="21" t="s">
        <v>151</v>
      </c>
      <c r="C11" s="18"/>
      <c r="D11" s="18"/>
      <c r="E11" s="51"/>
      <c r="F11" s="13"/>
    </row>
    <row r="12" spans="2:6" x14ac:dyDescent="0.3">
      <c r="B12" s="25" t="s">
        <v>150</v>
      </c>
      <c r="C12" s="17">
        <f>'P&amp;L General Fund'!D12</f>
        <v>8000</v>
      </c>
      <c r="D12" s="17">
        <v>5000</v>
      </c>
      <c r="E12" s="51">
        <f>C12-D12</f>
        <v>3000</v>
      </c>
      <c r="F12" s="13"/>
    </row>
    <row r="13" spans="2:6" x14ac:dyDescent="0.3">
      <c r="B13" s="25" t="s">
        <v>149</v>
      </c>
      <c r="C13" s="17">
        <f>'P&amp;L General Fund'!D13</f>
        <v>482.19</v>
      </c>
      <c r="D13" s="18"/>
      <c r="E13" s="51">
        <f>C13-D13</f>
        <v>482.19</v>
      </c>
      <c r="F13" s="13"/>
    </row>
    <row r="14" spans="2:6" x14ac:dyDescent="0.3">
      <c r="B14" s="24" t="s">
        <v>148</v>
      </c>
      <c r="C14" s="15">
        <f>C11+C12+C13</f>
        <v>8482.19</v>
      </c>
      <c r="D14" s="15">
        <f>D11+D12+D13</f>
        <v>5000</v>
      </c>
      <c r="E14" s="63">
        <f>E11+E12+E13</f>
        <v>3482.19</v>
      </c>
      <c r="F14" s="13"/>
    </row>
    <row r="15" spans="2:6" x14ac:dyDescent="0.3">
      <c r="B15" s="20" t="s">
        <v>147</v>
      </c>
      <c r="C15" s="15">
        <f>C6+C9+C10+C14</f>
        <v>631521.36</v>
      </c>
      <c r="D15" s="15">
        <f>D6+D9+D10+D14</f>
        <v>642003</v>
      </c>
      <c r="E15" s="63">
        <f>E6+E9+E10+E14</f>
        <v>-10481.639999999948</v>
      </c>
      <c r="F15" s="13"/>
    </row>
    <row r="16" spans="2:6" x14ac:dyDescent="0.3">
      <c r="B16" s="19" t="s">
        <v>226</v>
      </c>
      <c r="C16" s="18"/>
      <c r="D16" s="18"/>
      <c r="E16" s="51"/>
      <c r="F16" s="13"/>
    </row>
    <row r="17" spans="2:6" x14ac:dyDescent="0.3">
      <c r="B17" s="20" t="s">
        <v>146</v>
      </c>
      <c r="C17" s="15">
        <f>C15-C16</f>
        <v>631521.36</v>
      </c>
      <c r="D17" s="15">
        <f>D15-D16</f>
        <v>642003</v>
      </c>
      <c r="E17" s="63">
        <f>E15-E16</f>
        <v>-10481.639999999948</v>
      </c>
      <c r="F17" s="13"/>
    </row>
    <row r="18" spans="2:6" x14ac:dyDescent="0.3">
      <c r="B18" s="19" t="s">
        <v>145</v>
      </c>
      <c r="E18" s="64"/>
      <c r="F18" s="13"/>
    </row>
    <row r="19" spans="2:6" x14ac:dyDescent="0.3">
      <c r="B19" s="21" t="s">
        <v>144</v>
      </c>
      <c r="C19" s="18"/>
      <c r="D19" s="18"/>
      <c r="E19" s="51"/>
      <c r="F19" s="13"/>
    </row>
    <row r="20" spans="2:6" x14ac:dyDescent="0.3">
      <c r="B20" s="25" t="s">
        <v>143</v>
      </c>
      <c r="C20" s="17">
        <f>'P&amp;L General Fund'!D19</f>
        <v>57.75</v>
      </c>
      <c r="D20" s="17">
        <v>2000</v>
      </c>
      <c r="E20" s="51">
        <f>C20-D20</f>
        <v>-1942.25</v>
      </c>
      <c r="F20" s="13"/>
    </row>
    <row r="21" spans="2:6" ht="24.6" customHeight="1" x14ac:dyDescent="0.3">
      <c r="B21" s="25" t="s">
        <v>142</v>
      </c>
      <c r="C21" s="17">
        <f>'P&amp;L General Fund'!D20</f>
        <v>5129.96</v>
      </c>
      <c r="D21" s="17">
        <v>15000</v>
      </c>
      <c r="E21" s="51">
        <f t="shared" ref="E21:E37" si="0">C21-D21</f>
        <v>-9870.0400000000009</v>
      </c>
      <c r="F21" s="13"/>
    </row>
    <row r="22" spans="2:6" x14ac:dyDescent="0.3">
      <c r="B22" s="25" t="s">
        <v>141</v>
      </c>
      <c r="C22" s="17">
        <f>'P&amp;L General Fund'!D21</f>
        <v>1457.79</v>
      </c>
      <c r="D22" s="18"/>
      <c r="E22" s="51">
        <f t="shared" si="0"/>
        <v>1457.79</v>
      </c>
      <c r="F22" s="13"/>
    </row>
    <row r="23" spans="2:6" x14ac:dyDescent="0.3">
      <c r="B23" s="25" t="s">
        <v>140</v>
      </c>
      <c r="C23" s="17">
        <f>'P&amp;L General Fund'!D22</f>
        <v>11499.5</v>
      </c>
      <c r="D23" s="17">
        <v>21000</v>
      </c>
      <c r="E23" s="51">
        <f t="shared" si="0"/>
        <v>-9500.5</v>
      </c>
      <c r="F23" s="13"/>
    </row>
    <row r="24" spans="2:6" x14ac:dyDescent="0.3">
      <c r="B24" s="25" t="s">
        <v>139</v>
      </c>
      <c r="C24" s="17">
        <f>'P&amp;L General Fund'!D23</f>
        <v>8575</v>
      </c>
      <c r="D24" s="17">
        <v>10000</v>
      </c>
      <c r="E24" s="51">
        <f t="shared" si="0"/>
        <v>-1425</v>
      </c>
      <c r="F24" s="13"/>
    </row>
    <row r="25" spans="2:6" x14ac:dyDescent="0.3">
      <c r="B25" s="25" t="s">
        <v>138</v>
      </c>
      <c r="C25" s="17">
        <f>'P&amp;L General Fund'!D24</f>
        <v>3526.06</v>
      </c>
      <c r="D25" s="17">
        <v>1000</v>
      </c>
      <c r="E25" s="51">
        <f t="shared" si="0"/>
        <v>2526.06</v>
      </c>
      <c r="F25" s="13"/>
    </row>
    <row r="26" spans="2:6" x14ac:dyDescent="0.3">
      <c r="B26" s="25" t="s">
        <v>137</v>
      </c>
      <c r="C26" s="17">
        <f>'P&amp;L General Fund'!D25</f>
        <v>16253.58</v>
      </c>
      <c r="D26" s="17">
        <v>17000</v>
      </c>
      <c r="E26" s="51">
        <f t="shared" si="0"/>
        <v>-746.42000000000007</v>
      </c>
      <c r="F26" s="13"/>
    </row>
    <row r="27" spans="2:6" x14ac:dyDescent="0.3">
      <c r="B27" s="25" t="s">
        <v>136</v>
      </c>
      <c r="C27" s="17">
        <f>'P&amp;L General Fund'!D26</f>
        <v>126.84</v>
      </c>
      <c r="D27" s="17">
        <v>500</v>
      </c>
      <c r="E27" s="51">
        <f t="shared" si="0"/>
        <v>-373.15999999999997</v>
      </c>
      <c r="F27" s="13"/>
    </row>
    <row r="28" spans="2:6" x14ac:dyDescent="0.3">
      <c r="B28" s="25" t="s">
        <v>135</v>
      </c>
      <c r="C28" s="17">
        <f>'P&amp;L General Fund'!D27</f>
        <v>3776.62</v>
      </c>
      <c r="D28" s="17">
        <v>5500</v>
      </c>
      <c r="E28" s="51">
        <f t="shared" si="0"/>
        <v>-1723.38</v>
      </c>
      <c r="F28" s="13"/>
    </row>
    <row r="29" spans="2:6" x14ac:dyDescent="0.3">
      <c r="B29" s="25" t="s">
        <v>134</v>
      </c>
      <c r="C29" s="17">
        <f>'P&amp;L General Fund'!D28</f>
        <v>3063.59</v>
      </c>
      <c r="D29" s="17">
        <v>20000</v>
      </c>
      <c r="E29" s="51">
        <f t="shared" si="0"/>
        <v>-16936.41</v>
      </c>
      <c r="F29" s="13"/>
    </row>
    <row r="30" spans="2:6" x14ac:dyDescent="0.3">
      <c r="B30" s="25" t="s">
        <v>133</v>
      </c>
      <c r="C30" s="17">
        <f>'P&amp;L General Fund'!D29</f>
        <v>3850.5</v>
      </c>
      <c r="D30" s="17">
        <v>15000</v>
      </c>
      <c r="E30" s="51">
        <f t="shared" si="0"/>
        <v>-11149.5</v>
      </c>
      <c r="F30" s="13"/>
    </row>
    <row r="31" spans="2:6" x14ac:dyDescent="0.3">
      <c r="B31" s="25" t="s">
        <v>214</v>
      </c>
      <c r="C31" s="17">
        <f>'P&amp;L General Fund'!D30</f>
        <v>115.95</v>
      </c>
      <c r="D31" s="18"/>
      <c r="E31" s="51">
        <f t="shared" si="0"/>
        <v>115.95</v>
      </c>
      <c r="F31" s="13"/>
    </row>
    <row r="32" spans="2:6" x14ac:dyDescent="0.3">
      <c r="B32" s="25" t="s">
        <v>132</v>
      </c>
      <c r="C32" s="17">
        <f>'P&amp;L General Fund'!D31</f>
        <v>768</v>
      </c>
      <c r="D32" s="17">
        <v>5000</v>
      </c>
      <c r="E32" s="51">
        <f t="shared" si="0"/>
        <v>-4232</v>
      </c>
      <c r="F32" s="13"/>
    </row>
    <row r="33" spans="2:6" x14ac:dyDescent="0.3">
      <c r="B33" s="25" t="s">
        <v>131</v>
      </c>
      <c r="C33" s="17">
        <f>'P&amp;L General Fund'!D32</f>
        <v>101.54</v>
      </c>
      <c r="D33" s="18"/>
      <c r="E33" s="51">
        <f t="shared" si="0"/>
        <v>101.54</v>
      </c>
      <c r="F33" s="13"/>
    </row>
    <row r="34" spans="2:6" x14ac:dyDescent="0.3">
      <c r="B34" s="25" t="s">
        <v>199</v>
      </c>
      <c r="C34" s="17">
        <f>'P&amp;L General Fund'!D33</f>
        <v>0</v>
      </c>
      <c r="D34" s="18"/>
      <c r="E34" s="51">
        <f t="shared" si="0"/>
        <v>0</v>
      </c>
      <c r="F34" s="13"/>
    </row>
    <row r="35" spans="2:6" x14ac:dyDescent="0.3">
      <c r="B35" s="25" t="s">
        <v>225</v>
      </c>
      <c r="C35" s="17">
        <v>0</v>
      </c>
      <c r="D35" s="17">
        <v>1000</v>
      </c>
      <c r="E35" s="51">
        <f t="shared" si="0"/>
        <v>-1000</v>
      </c>
      <c r="F35" s="13"/>
    </row>
    <row r="36" spans="2:6" x14ac:dyDescent="0.3">
      <c r="B36" s="25" t="s">
        <v>224</v>
      </c>
      <c r="C36" s="17">
        <f>'P&amp;L General Fund'!D35</f>
        <v>0</v>
      </c>
      <c r="D36" s="18"/>
      <c r="E36" s="51">
        <f t="shared" si="0"/>
        <v>0</v>
      </c>
      <c r="F36" s="13"/>
    </row>
    <row r="37" spans="2:6" x14ac:dyDescent="0.3">
      <c r="B37" s="28" t="s">
        <v>223</v>
      </c>
      <c r="C37" s="17"/>
      <c r="D37" s="17">
        <v>5500</v>
      </c>
      <c r="E37" s="51">
        <f t="shared" si="0"/>
        <v>-5500</v>
      </c>
      <c r="F37" s="13"/>
    </row>
    <row r="38" spans="2:6" x14ac:dyDescent="0.3">
      <c r="B38" s="26" t="s">
        <v>222</v>
      </c>
      <c r="C38" s="15">
        <f>C36+C37</f>
        <v>0</v>
      </c>
      <c r="D38" s="15">
        <f>D36+D37</f>
        <v>5500</v>
      </c>
      <c r="E38" s="63">
        <f>E36+E37</f>
        <v>-5500</v>
      </c>
      <c r="F38" s="13"/>
    </row>
    <row r="39" spans="2:6" x14ac:dyDescent="0.3">
      <c r="B39" s="24" t="s">
        <v>130</v>
      </c>
      <c r="C39" s="15">
        <f>C19+C20+C21+C22+C23+C24+C25+C26+C27+C28+C29+C30+C31+C32+C33+C34+C35+C38</f>
        <v>58302.68</v>
      </c>
      <c r="D39" s="15">
        <f>D19+D20+D21+D22+D23+D24+D25+D26+D27+D28+D29+D30+D31+D32+D33+D34+D35+D38</f>
        <v>118500</v>
      </c>
      <c r="E39" s="63">
        <f>E19+E20+E21+E22+E23+E24+E25+E26+E27+E28+E29+E30+E31+E32+E33+E34+E35+E38</f>
        <v>-60197.32</v>
      </c>
      <c r="F39" s="13"/>
    </row>
    <row r="40" spans="2:6" x14ac:dyDescent="0.3">
      <c r="B40" s="21" t="s">
        <v>129</v>
      </c>
      <c r="C40" s="18"/>
      <c r="D40" s="18"/>
      <c r="E40" s="51"/>
      <c r="F40" s="13"/>
    </row>
    <row r="41" spans="2:6" x14ac:dyDescent="0.3">
      <c r="B41" s="25" t="s">
        <v>128</v>
      </c>
      <c r="C41" s="17">
        <f>'P&amp;L General Fund'!D36</f>
        <v>743.69</v>
      </c>
      <c r="D41" s="18"/>
      <c r="E41" s="51">
        <f t="shared" ref="E41:E50" si="1">C41-D41</f>
        <v>743.69</v>
      </c>
      <c r="F41" s="13"/>
    </row>
    <row r="42" spans="2:6" x14ac:dyDescent="0.3">
      <c r="B42" s="25" t="s">
        <v>127</v>
      </c>
      <c r="C42" s="17">
        <f>'P&amp;L General Fund'!D37</f>
        <v>371.51</v>
      </c>
      <c r="D42" s="18"/>
      <c r="E42" s="51">
        <f t="shared" si="1"/>
        <v>371.51</v>
      </c>
      <c r="F42" s="13"/>
    </row>
    <row r="43" spans="2:6" x14ac:dyDescent="0.3">
      <c r="B43" s="25" t="s">
        <v>244</v>
      </c>
      <c r="C43" s="17">
        <f>'P&amp;L General Fund'!D38</f>
        <v>72</v>
      </c>
      <c r="D43" s="18"/>
      <c r="E43" s="51">
        <f t="shared" si="1"/>
        <v>72</v>
      </c>
      <c r="F43" s="13"/>
    </row>
    <row r="44" spans="2:6" x14ac:dyDescent="0.3">
      <c r="B44" s="25" t="s">
        <v>126</v>
      </c>
      <c r="C44" s="17">
        <f>'P&amp;L General Fund'!D39</f>
        <v>960</v>
      </c>
      <c r="D44" s="18"/>
      <c r="E44" s="51">
        <f t="shared" si="1"/>
        <v>960</v>
      </c>
      <c r="F44" s="13"/>
    </row>
    <row r="45" spans="2:6" x14ac:dyDescent="0.3">
      <c r="B45" s="25" t="s">
        <v>125</v>
      </c>
      <c r="C45" s="17">
        <f>'P&amp;L General Fund'!D40</f>
        <v>2373.96</v>
      </c>
      <c r="D45" s="18"/>
      <c r="E45" s="51">
        <f t="shared" si="1"/>
        <v>2373.96</v>
      </c>
      <c r="F45" s="13"/>
    </row>
    <row r="46" spans="2:6" x14ac:dyDescent="0.3">
      <c r="B46" s="25" t="s">
        <v>124</v>
      </c>
      <c r="C46" s="17">
        <f>'P&amp;L General Fund'!D41</f>
        <v>306.42</v>
      </c>
      <c r="D46" s="18"/>
      <c r="E46" s="51">
        <f t="shared" si="1"/>
        <v>306.42</v>
      </c>
      <c r="F46" s="13"/>
    </row>
    <row r="47" spans="2:6" x14ac:dyDescent="0.3">
      <c r="B47" s="25" t="s">
        <v>123</v>
      </c>
      <c r="C47" s="17">
        <f>'P&amp;L General Fund'!D42</f>
        <v>2913.97</v>
      </c>
      <c r="D47" s="18"/>
      <c r="E47" s="51">
        <f t="shared" si="1"/>
        <v>2913.97</v>
      </c>
      <c r="F47" s="13"/>
    </row>
    <row r="48" spans="2:6" x14ac:dyDescent="0.3">
      <c r="B48" s="25" t="s">
        <v>122</v>
      </c>
      <c r="C48" s="17">
        <f>'P&amp;L General Fund'!D43</f>
        <v>1290</v>
      </c>
      <c r="D48" s="18"/>
      <c r="E48" s="51">
        <f t="shared" si="1"/>
        <v>1290</v>
      </c>
      <c r="F48" s="13"/>
    </row>
    <row r="49" spans="2:6" x14ac:dyDescent="0.3">
      <c r="B49" s="25" t="s">
        <v>121</v>
      </c>
      <c r="C49" s="17">
        <f>'P&amp;L General Fund'!D44</f>
        <v>880</v>
      </c>
      <c r="D49" s="18"/>
      <c r="E49" s="51">
        <f t="shared" si="1"/>
        <v>880</v>
      </c>
      <c r="F49" s="13"/>
    </row>
    <row r="50" spans="2:6" x14ac:dyDescent="0.3">
      <c r="B50" s="25" t="s">
        <v>120</v>
      </c>
      <c r="C50" s="17">
        <f>'P&amp;L General Fund'!D45</f>
        <v>358.19</v>
      </c>
      <c r="D50" s="18"/>
      <c r="E50" s="51">
        <f t="shared" si="1"/>
        <v>358.19</v>
      </c>
      <c r="F50" s="13"/>
    </row>
    <row r="51" spans="2:6" ht="24" customHeight="1" x14ac:dyDescent="0.3">
      <c r="B51" s="24" t="s">
        <v>119</v>
      </c>
      <c r="C51" s="15">
        <f>C40+C41+C42+C44+C45+C46+C47+C48+C49+C50+C43</f>
        <v>10269.74</v>
      </c>
      <c r="D51" s="15">
        <f t="shared" ref="D51:E51" si="2">D40+D41+D42+D44+D45+D46+D47+D48+D49+D50+D43</f>
        <v>0</v>
      </c>
      <c r="E51" s="63">
        <f t="shared" si="2"/>
        <v>10269.74</v>
      </c>
      <c r="F51" s="13"/>
    </row>
    <row r="52" spans="2:6" x14ac:dyDescent="0.3">
      <c r="B52" s="21" t="s">
        <v>118</v>
      </c>
      <c r="C52" s="18"/>
      <c r="D52" s="18"/>
      <c r="E52" s="51"/>
      <c r="F52" s="13"/>
    </row>
    <row r="53" spans="2:6" x14ac:dyDescent="0.3">
      <c r="B53" s="25" t="s">
        <v>117</v>
      </c>
      <c r="C53" s="17">
        <f>'P&amp;L General Fund'!D48</f>
        <v>76562.649999999994</v>
      </c>
      <c r="D53" s="17">
        <v>187360</v>
      </c>
      <c r="E53" s="51">
        <f t="shared" ref="E53:E56" si="3">C53-D53</f>
        <v>-110797.35</v>
      </c>
      <c r="F53" s="13"/>
    </row>
    <row r="54" spans="2:6" x14ac:dyDescent="0.3">
      <c r="B54" s="25" t="s">
        <v>116</v>
      </c>
      <c r="C54" s="17">
        <f>'P&amp;L General Fund'!D49</f>
        <v>6542.94</v>
      </c>
      <c r="D54" s="17">
        <v>14333</v>
      </c>
      <c r="E54" s="51">
        <f t="shared" si="3"/>
        <v>-7790.06</v>
      </c>
      <c r="F54" s="13"/>
    </row>
    <row r="55" spans="2:6" x14ac:dyDescent="0.3">
      <c r="B55" s="25" t="s">
        <v>115</v>
      </c>
      <c r="C55" s="17">
        <f>'P&amp;L General Fund'!D50</f>
        <v>3158.47</v>
      </c>
      <c r="D55" s="17">
        <v>4333</v>
      </c>
      <c r="E55" s="51">
        <f t="shared" si="3"/>
        <v>-1174.5300000000002</v>
      </c>
      <c r="F55" s="13"/>
    </row>
    <row r="56" spans="2:6" ht="24" customHeight="1" x14ac:dyDescent="0.3">
      <c r="B56" s="25" t="s">
        <v>114</v>
      </c>
      <c r="C56" s="17">
        <f>'P&amp;L General Fund'!D51</f>
        <v>18325.810000000001</v>
      </c>
      <c r="D56" s="18"/>
      <c r="E56" s="51">
        <f t="shared" si="3"/>
        <v>18325.810000000001</v>
      </c>
      <c r="F56" s="13"/>
    </row>
    <row r="57" spans="2:6" x14ac:dyDescent="0.3">
      <c r="B57" s="24" t="s">
        <v>113</v>
      </c>
      <c r="C57" s="15">
        <f>C52+C53+C54+C55+C56</f>
        <v>104589.87</v>
      </c>
      <c r="D57" s="15">
        <f>D52+D53+D54+D55+D56</f>
        <v>206026</v>
      </c>
      <c r="E57" s="63">
        <f>E52+E53+E54+E55+E56</f>
        <v>-101436.13</v>
      </c>
      <c r="F57" s="13"/>
    </row>
    <row r="58" spans="2:6" ht="21.6" customHeight="1" x14ac:dyDescent="0.3">
      <c r="B58" s="21" t="s">
        <v>112</v>
      </c>
      <c r="C58" s="18"/>
      <c r="D58" s="18"/>
      <c r="E58" s="51"/>
      <c r="F58" s="13"/>
    </row>
    <row r="59" spans="2:6" x14ac:dyDescent="0.3">
      <c r="B59" s="25" t="s">
        <v>111</v>
      </c>
      <c r="C59" s="17">
        <f>'P&amp;L General Fund'!D54</f>
        <v>10486.87</v>
      </c>
      <c r="D59" s="18"/>
      <c r="E59" s="51">
        <f t="shared" ref="E59" si="4">C59-D59</f>
        <v>10486.87</v>
      </c>
      <c r="F59" s="13"/>
    </row>
    <row r="60" spans="2:6" ht="24.6" customHeight="1" x14ac:dyDescent="0.3">
      <c r="B60" s="24" t="s">
        <v>110</v>
      </c>
      <c r="C60" s="15">
        <f>C58+C59</f>
        <v>10486.87</v>
      </c>
      <c r="D60" s="15">
        <f>D58+D59</f>
        <v>0</v>
      </c>
      <c r="E60" s="63">
        <f>E58+E59</f>
        <v>10486.87</v>
      </c>
      <c r="F60" s="13"/>
    </row>
    <row r="61" spans="2:6" x14ac:dyDescent="0.3">
      <c r="B61" s="21" t="s">
        <v>109</v>
      </c>
      <c r="C61" s="18"/>
      <c r="D61" s="18"/>
      <c r="E61" s="51"/>
      <c r="F61" s="13"/>
    </row>
    <row r="62" spans="2:6" x14ac:dyDescent="0.3">
      <c r="B62" s="25" t="s">
        <v>108</v>
      </c>
      <c r="C62" s="17">
        <f>'P&amp;L General Fund'!D57</f>
        <v>3749.7</v>
      </c>
      <c r="D62" s="17">
        <v>3110</v>
      </c>
      <c r="E62" s="51">
        <f t="shared" ref="E62:E63" si="5">C62-D62</f>
        <v>639.69999999999982</v>
      </c>
      <c r="F62" s="13"/>
    </row>
    <row r="63" spans="2:6" x14ac:dyDescent="0.3">
      <c r="B63" s="25" t="s">
        <v>107</v>
      </c>
      <c r="C63" s="17">
        <f>'P&amp;L General Fund'!D58</f>
        <v>11970.9</v>
      </c>
      <c r="D63" s="17">
        <v>12440</v>
      </c>
      <c r="E63" s="51">
        <f t="shared" si="5"/>
        <v>-469.10000000000036</v>
      </c>
      <c r="F63" s="13"/>
    </row>
    <row r="64" spans="2:6" ht="25.2" customHeight="1" x14ac:dyDescent="0.3">
      <c r="B64" s="24" t="s">
        <v>106</v>
      </c>
      <c r="C64" s="15">
        <f>C61+C62+C63</f>
        <v>15720.599999999999</v>
      </c>
      <c r="D64" s="15">
        <f>D61+D62+D63</f>
        <v>15550</v>
      </c>
      <c r="E64" s="63">
        <f>E61+E62+E63</f>
        <v>170.59999999999945</v>
      </c>
      <c r="F64" s="13"/>
    </row>
    <row r="65" spans="2:6" x14ac:dyDescent="0.3">
      <c r="B65" s="21" t="s">
        <v>105</v>
      </c>
      <c r="C65" s="18"/>
      <c r="D65" s="18"/>
      <c r="E65" s="51"/>
      <c r="F65" s="13"/>
    </row>
    <row r="66" spans="2:6" x14ac:dyDescent="0.3">
      <c r="B66" s="25" t="s">
        <v>104</v>
      </c>
      <c r="C66" s="17">
        <f>'P&amp;L General Fund'!D61</f>
        <v>10295.120000000001</v>
      </c>
      <c r="D66" s="17">
        <v>45000</v>
      </c>
      <c r="E66" s="51">
        <f t="shared" ref="E66:E72" si="6">C66-D66</f>
        <v>-34704.879999999997</v>
      </c>
      <c r="F66" s="13"/>
    </row>
    <row r="67" spans="2:6" x14ac:dyDescent="0.3">
      <c r="B67" s="25" t="s">
        <v>103</v>
      </c>
      <c r="C67" s="17">
        <f>'P&amp;L General Fund'!D62</f>
        <v>9575</v>
      </c>
      <c r="D67" s="18"/>
      <c r="E67" s="51">
        <f t="shared" si="6"/>
        <v>9575</v>
      </c>
      <c r="F67" s="13"/>
    </row>
    <row r="68" spans="2:6" x14ac:dyDescent="0.3">
      <c r="B68" s="25" t="s">
        <v>102</v>
      </c>
      <c r="C68" s="17">
        <f>'P&amp;L General Fund'!D63</f>
        <v>16387.259999999998</v>
      </c>
      <c r="D68" s="17">
        <v>50000</v>
      </c>
      <c r="E68" s="51">
        <f t="shared" si="6"/>
        <v>-33612.740000000005</v>
      </c>
      <c r="F68" s="13"/>
    </row>
    <row r="69" spans="2:6" x14ac:dyDescent="0.3">
      <c r="B69" s="25" t="s">
        <v>193</v>
      </c>
      <c r="C69" s="18"/>
      <c r="D69" s="17">
        <v>15000</v>
      </c>
      <c r="E69" s="51">
        <f t="shared" si="6"/>
        <v>-15000</v>
      </c>
      <c r="F69" s="13"/>
    </row>
    <row r="70" spans="2:6" x14ac:dyDescent="0.3">
      <c r="B70" s="25" t="s">
        <v>221</v>
      </c>
      <c r="C70" s="18"/>
      <c r="D70" s="17">
        <v>5000</v>
      </c>
      <c r="E70" s="51">
        <f t="shared" si="6"/>
        <v>-5000</v>
      </c>
      <c r="F70" s="13"/>
    </row>
    <row r="71" spans="2:6" x14ac:dyDescent="0.3">
      <c r="B71" s="24" t="s">
        <v>101</v>
      </c>
      <c r="C71" s="15">
        <f>C65+C66+C67+C68+C69+C70</f>
        <v>36257.380000000005</v>
      </c>
      <c r="D71" s="15">
        <f>D65+D66+D67+D68+D69+D70</f>
        <v>115000</v>
      </c>
      <c r="E71" s="63">
        <f>E65+E66+E67+E68+E69+E70</f>
        <v>-78742.62</v>
      </c>
      <c r="F71" s="13"/>
    </row>
    <row r="72" spans="2:6" x14ac:dyDescent="0.3">
      <c r="B72" s="21" t="s">
        <v>220</v>
      </c>
      <c r="C72" s="18"/>
      <c r="D72" s="17">
        <v>5000</v>
      </c>
      <c r="E72" s="51">
        <f t="shared" si="6"/>
        <v>-5000</v>
      </c>
      <c r="F72" s="13"/>
    </row>
    <row r="73" spans="2:6" x14ac:dyDescent="0.3">
      <c r="B73" s="20" t="s">
        <v>100</v>
      </c>
      <c r="C73" s="15">
        <f>C18+C39+C51+C57+C60+C64+C71+C72</f>
        <v>235627.13999999998</v>
      </c>
      <c r="D73" s="15">
        <f>D18+D39+D51+D57+D60+D64+D71+D72</f>
        <v>460076</v>
      </c>
      <c r="E73" s="63">
        <f>E18+E39+E51+E57+E60+E64+E71+E72</f>
        <v>-224448.86000000002</v>
      </c>
      <c r="F73" s="13"/>
    </row>
    <row r="74" spans="2:6" x14ac:dyDescent="0.3">
      <c r="B74" s="20" t="s">
        <v>233</v>
      </c>
      <c r="C74" s="15">
        <f>C17-C73</f>
        <v>395894.22</v>
      </c>
      <c r="D74" s="15">
        <f>D17-D73</f>
        <v>181927</v>
      </c>
      <c r="E74" s="63">
        <f>E17-E73</f>
        <v>213967.22000000006</v>
      </c>
      <c r="F74" s="13"/>
    </row>
    <row r="75" spans="2:6" x14ac:dyDescent="0.3">
      <c r="B75" s="19" t="s">
        <v>166</v>
      </c>
      <c r="C75" s="18"/>
      <c r="D75" s="18"/>
      <c r="E75" s="51"/>
      <c r="F75" s="13"/>
    </row>
    <row r="76" spans="2:6" x14ac:dyDescent="0.3">
      <c r="B76" s="19" t="s">
        <v>99</v>
      </c>
      <c r="E76" s="64"/>
      <c r="F76" s="13"/>
    </row>
    <row r="77" spans="2:6" ht="24" customHeight="1" x14ac:dyDescent="0.3">
      <c r="B77" s="21" t="s">
        <v>98</v>
      </c>
      <c r="C77" s="18"/>
      <c r="D77" s="18"/>
      <c r="E77" s="51"/>
      <c r="F77" s="13"/>
    </row>
    <row r="78" spans="2:6" x14ac:dyDescent="0.3">
      <c r="B78" s="25" t="s">
        <v>97</v>
      </c>
      <c r="C78" s="17">
        <f>'P&amp;L General Fund'!D69</f>
        <v>102599.75</v>
      </c>
      <c r="D78" s="17">
        <v>111927</v>
      </c>
      <c r="E78" s="51">
        <f t="shared" ref="E78" si="7">C78-D78</f>
        <v>-9327.25</v>
      </c>
      <c r="F78" s="13"/>
    </row>
    <row r="79" spans="2:6" ht="25.2" customHeight="1" x14ac:dyDescent="0.3">
      <c r="B79" s="24" t="s">
        <v>96</v>
      </c>
      <c r="C79" s="15">
        <f>C77+C78</f>
        <v>102599.75</v>
      </c>
      <c r="D79" s="15">
        <f>D77+D78</f>
        <v>111927</v>
      </c>
      <c r="E79" s="63">
        <f>E77+E78</f>
        <v>-9327.25</v>
      </c>
      <c r="F79" s="13"/>
    </row>
    <row r="80" spans="2:6" x14ac:dyDescent="0.3">
      <c r="B80" s="21" t="s">
        <v>219</v>
      </c>
      <c r="C80" s="18"/>
      <c r="D80" s="18"/>
      <c r="E80" s="51"/>
      <c r="F80" s="13"/>
    </row>
    <row r="81" spans="2:6" x14ac:dyDescent="0.3">
      <c r="B81" s="25" t="s">
        <v>218</v>
      </c>
      <c r="C81" s="18"/>
      <c r="D81" s="17">
        <v>20000</v>
      </c>
      <c r="E81" s="51">
        <f t="shared" ref="E81:E82" si="8">C81-D81</f>
        <v>-20000</v>
      </c>
      <c r="F81" s="13"/>
    </row>
    <row r="82" spans="2:6" x14ac:dyDescent="0.3">
      <c r="B82" s="25" t="s">
        <v>217</v>
      </c>
      <c r="C82" s="18"/>
      <c r="D82" s="17">
        <v>50000</v>
      </c>
      <c r="E82" s="51">
        <f t="shared" si="8"/>
        <v>-50000</v>
      </c>
      <c r="F82" s="13"/>
    </row>
    <row r="83" spans="2:6" x14ac:dyDescent="0.3">
      <c r="B83" s="24" t="s">
        <v>216</v>
      </c>
      <c r="C83" s="15">
        <f>C80+C81+C82</f>
        <v>0</v>
      </c>
      <c r="D83" s="15">
        <f>D80+D81+D82</f>
        <v>70000</v>
      </c>
      <c r="E83" s="63">
        <f>E80+E81+E82</f>
        <v>-70000</v>
      </c>
      <c r="F83" s="13"/>
    </row>
    <row r="84" spans="2:6" x14ac:dyDescent="0.3">
      <c r="B84" s="20" t="s">
        <v>95</v>
      </c>
      <c r="C84" s="15">
        <f>C76+C79+C83</f>
        <v>102599.75</v>
      </c>
      <c r="D84" s="15">
        <f>D76+D79+D83</f>
        <v>181927</v>
      </c>
      <c r="E84" s="63">
        <f>E76+E79+E83</f>
        <v>-79327.25</v>
      </c>
      <c r="F84" s="13"/>
    </row>
    <row r="85" spans="2:6" x14ac:dyDescent="0.3">
      <c r="B85" s="20" t="s">
        <v>232</v>
      </c>
      <c r="C85" s="32">
        <f>C75-C84</f>
        <v>-102599.75</v>
      </c>
      <c r="D85" s="32">
        <f>D75-D84</f>
        <v>-181927</v>
      </c>
      <c r="E85" s="63">
        <f>E75-E84</f>
        <v>79327.25</v>
      </c>
      <c r="F85" s="13"/>
    </row>
    <row r="86" spans="2:6" x14ac:dyDescent="0.3">
      <c r="B86" s="20" t="s">
        <v>231</v>
      </c>
      <c r="C86" s="15">
        <f>C74+C85</f>
        <v>293294.46999999997</v>
      </c>
      <c r="D86" s="15">
        <f>D74+D85</f>
        <v>0</v>
      </c>
      <c r="E86" s="63">
        <f>E74+E85</f>
        <v>293294.47000000009</v>
      </c>
      <c r="F86" s="13"/>
    </row>
    <row r="87" spans="2:6" x14ac:dyDescent="0.3">
      <c r="E87" s="49"/>
      <c r="F87" s="13"/>
    </row>
    <row r="88" spans="2:6" x14ac:dyDescent="0.3">
      <c r="E88" s="49"/>
    </row>
    <row r="89" spans="2:6" x14ac:dyDescent="0.3">
      <c r="E89" s="49"/>
    </row>
    <row r="90" spans="2:6" x14ac:dyDescent="0.3">
      <c r="B90" s="39"/>
      <c r="C90" s="38"/>
      <c r="D90" s="38"/>
      <c r="E90" s="38"/>
      <c r="F90" s="38"/>
    </row>
  </sheetData>
  <mergeCells count="3">
    <mergeCell ref="B2:F2"/>
    <mergeCell ref="B90:F90"/>
    <mergeCell ref="B1:E1"/>
  </mergeCells>
  <pageMargins left="0.25" right="0.25" top="0.75" bottom="0.75" header="0.3" footer="0.3"/>
  <pageSetup orientation="portrait" r:id="rId1"/>
  <headerFooter>
    <oddFooter>&amp;CFor Internal Use Only- Unaudited Subject to Change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Balance Sheet Consolidated</vt:lpstr>
      <vt:lpstr>AR Capital</vt:lpstr>
      <vt:lpstr>P&amp;L Capital</vt:lpstr>
      <vt:lpstr>P&amp;L General Fund</vt:lpstr>
      <vt:lpstr>Budget vs Actual Capital</vt:lpstr>
      <vt:lpstr>Budget Vs Actual General</vt:lpstr>
      <vt:lpstr>'Balance Sheet Consolidated'!Print_Area</vt:lpstr>
      <vt:lpstr>'Budget vs Actual Capital'!Print_Area</vt:lpstr>
      <vt:lpstr>'Balance Sheet Consolidated'!Print_Titles</vt:lpstr>
      <vt:lpstr>'Budget vs Actual Capital'!Print_Titles</vt:lpstr>
      <vt:lpstr>'Budget Vs Actual General'!Print_Titles</vt:lpstr>
      <vt:lpstr>'P&amp;L Capital'!Print_Titles</vt:lpstr>
      <vt:lpstr>'P&amp;L General Fund'!Print_Titles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CEPD Office Manager</dc:creator>
  <cp:lastModifiedBy>Mike Silnutzer</cp:lastModifiedBy>
  <cp:lastPrinted>2026-09-25T16:24:13Z</cp:lastPrinted>
  <dcterms:created xsi:type="dcterms:W3CDTF">2026-06-02T12:52:53Z</dcterms:created>
  <dcterms:modified xsi:type="dcterms:W3CDTF">2026-09-25T16:27:50Z</dcterms:modified>
</cp:coreProperties>
</file>